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 72 Guillaume\Desktop\Circuit 2018\"/>
    </mc:Choice>
  </mc:AlternateContent>
  <bookViews>
    <workbookView xWindow="0" yWindow="0" windowWidth="20490" windowHeight="7755" tabRatio="823" activeTab="1"/>
  </bookViews>
  <sheets>
    <sheet name="Rens" sheetId="53" r:id="rId1"/>
    <sheet name="liste" sheetId="16" r:id="rId2"/>
    <sheet name="Poules A-B" sheetId="13" r:id="rId3"/>
    <sheet name="Poules C-D" sheetId="34" r:id="rId4"/>
    <sheet name="Poules E-F" sheetId="36" r:id="rId5"/>
    <sheet name="Poules G-H" sheetId="38" r:id="rId6"/>
    <sheet name="Récapitulatif des poules" sheetId="54" r:id="rId7"/>
    <sheet name="Tableau" sheetId="40" r:id="rId8"/>
    <sheet name="Classement" sheetId="50" r:id="rId9"/>
    <sheet name="Parties" sheetId="41" r:id="rId10"/>
  </sheets>
  <definedNames>
    <definedName name="blanc">'Poules A-B'!$AC$3</definedName>
    <definedName name="clpo" localSheetId="7">Tableau!$BD$6:$BE$37</definedName>
    <definedName name="_xlnm.Print_Titles" localSheetId="1">liste!$1:$8</definedName>
    <definedName name="_xlnm.Print_Titles" localSheetId="7">Tableau!$5:$6</definedName>
    <definedName name="pltab" localSheetId="7">Tableau!$BF$6:$BH$37</definedName>
    <definedName name="poA" localSheetId="7">Tableau!$W$50</definedName>
    <definedName name="poB" localSheetId="7">Tableau!$X$50</definedName>
    <definedName name="poC" localSheetId="7">Tableau!$Y$50</definedName>
    <definedName name="poD" localSheetId="7">Tableau!$Z$50</definedName>
    <definedName name="poE" localSheetId="7">Tableau!$AA$50</definedName>
    <definedName name="poF" localSheetId="7">Tableau!$AB$50</definedName>
    <definedName name="poG" localSheetId="7">Tableau!$AC$50</definedName>
    <definedName name="poH" localSheetId="7">Tableau!$AD$50</definedName>
    <definedName name="ponum" localSheetId="7">Tableau!$BG:$BG</definedName>
    <definedName name="TF" localSheetId="7">Tableau!$AG$51</definedName>
    <definedName name="TIR" localSheetId="7">Tableau!$BF$6:$BI$37</definedName>
    <definedName name="_xlnm.Print_Area" localSheetId="1">liste!$A$1:$G$40</definedName>
    <definedName name="_xlnm.Print_Area" localSheetId="2">'Poules A-B'!$A$1:$AA$58</definedName>
    <definedName name="_xlnm.Print_Area" localSheetId="3">'Poules C-D'!$A$1:$AA$58</definedName>
    <definedName name="_xlnm.Print_Area" localSheetId="4">'Poules E-F'!$A$1:$AA$58</definedName>
    <definedName name="_xlnm.Print_Area" localSheetId="5">'Poules G-H'!$A$1:$AA$58</definedName>
    <definedName name="_xlnm.Print_Area" localSheetId="6">'Récapitulatif des poules'!$A$1:$AA$75</definedName>
    <definedName name="_xlnm.Print_Area" localSheetId="7">Tableau!$A$1:$AZ$96</definedName>
  </definedNames>
  <calcPr calcId="152511" iterate="1"/>
</workbook>
</file>

<file path=xl/calcChain.xml><?xml version="1.0" encoding="utf-8"?>
<calcChain xmlns="http://schemas.openxmlformats.org/spreadsheetml/2006/main">
  <c r="H2" i="50" l="1"/>
  <c r="A3" i="50"/>
  <c r="J73" i="54"/>
  <c r="A3" i="54"/>
  <c r="Q7" i="54" l="1"/>
  <c r="V4" i="40"/>
  <c r="V3" i="40"/>
  <c r="V2" i="40"/>
  <c r="V1" i="40"/>
  <c r="X35" i="38" l="1"/>
  <c r="X6" i="38"/>
  <c r="X35" i="36"/>
  <c r="X6" i="36"/>
  <c r="X35" i="34"/>
  <c r="X6" i="34"/>
  <c r="X35" i="13"/>
  <c r="X6" i="13"/>
  <c r="Z50" i="38" l="1"/>
  <c r="AA50" i="38" s="1"/>
  <c r="X49" i="38"/>
  <c r="Y49" i="38" s="1"/>
  <c r="Y48" i="38"/>
  <c r="AA48" i="38" s="1"/>
  <c r="X47" i="38"/>
  <c r="Z47" i="38" s="1"/>
  <c r="Y46" i="38"/>
  <c r="Z46" i="38" s="1"/>
  <c r="X45" i="38"/>
  <c r="AA45" i="38" s="1"/>
  <c r="Z21" i="38"/>
  <c r="AA21" i="38" s="1"/>
  <c r="X20" i="38"/>
  <c r="Y20" i="38" s="1"/>
  <c r="Y19" i="38"/>
  <c r="AA19" i="38" s="1"/>
  <c r="X18" i="38"/>
  <c r="Z18" i="38" s="1"/>
  <c r="Y17" i="38"/>
  <c r="Z17" i="38" s="1"/>
  <c r="X16" i="38"/>
  <c r="AA16" i="38" s="1"/>
  <c r="Z50" i="36"/>
  <c r="AA50" i="36" s="1"/>
  <c r="X49" i="36"/>
  <c r="Y49" i="36" s="1"/>
  <c r="Y48" i="36"/>
  <c r="AA48" i="36" s="1"/>
  <c r="X47" i="36"/>
  <c r="Z47" i="36" s="1"/>
  <c r="Y46" i="36"/>
  <c r="Z46" i="36" s="1"/>
  <c r="X45" i="36"/>
  <c r="AA45" i="36" s="1"/>
  <c r="Z21" i="36"/>
  <c r="AA21" i="36" s="1"/>
  <c r="X20" i="36"/>
  <c r="Y20" i="36" s="1"/>
  <c r="Y19" i="36"/>
  <c r="AA19" i="36" s="1"/>
  <c r="X18" i="36"/>
  <c r="Z18" i="36" s="1"/>
  <c r="Y17" i="36"/>
  <c r="Z17" i="36" s="1"/>
  <c r="X16" i="36"/>
  <c r="AA16" i="36" s="1"/>
  <c r="Z50" i="34"/>
  <c r="AA50" i="34" s="1"/>
  <c r="X49" i="34"/>
  <c r="Y49" i="34" s="1"/>
  <c r="Y48" i="34"/>
  <c r="AA48" i="34" s="1"/>
  <c r="X47" i="34"/>
  <c r="Z47" i="34" s="1"/>
  <c r="Z51" i="34"/>
  <c r="Y46" i="34"/>
  <c r="Z46" i="34" s="1"/>
  <c r="X45" i="34"/>
  <c r="AA45" i="34" s="1"/>
  <c r="Z21" i="34"/>
  <c r="AA21" i="34" s="1"/>
  <c r="X20" i="34"/>
  <c r="Y20" i="34" s="1"/>
  <c r="Y19" i="34"/>
  <c r="AA19" i="34" s="1"/>
  <c r="X18" i="34"/>
  <c r="Z18" i="34" s="1"/>
  <c r="Y17" i="34"/>
  <c r="Z17" i="34" s="1"/>
  <c r="X16" i="34"/>
  <c r="AA16" i="34" s="1"/>
  <c r="AA22" i="34"/>
  <c r="Z50" i="13"/>
  <c r="AA50" i="13" s="1"/>
  <c r="X49" i="13"/>
  <c r="Y49" i="13" s="1"/>
  <c r="Y48" i="13"/>
  <c r="AA48" i="13" s="1"/>
  <c r="X47" i="13"/>
  <c r="Z47" i="13" s="1"/>
  <c r="Y46" i="13"/>
  <c r="Z46" i="13" s="1"/>
  <c r="X45" i="13"/>
  <c r="AA45" i="13" s="1"/>
  <c r="Z21" i="13"/>
  <c r="AA21" i="13" s="1"/>
  <c r="X20" i="13"/>
  <c r="Y20" i="13" s="1"/>
  <c r="Y19" i="13"/>
  <c r="X18" i="13"/>
  <c r="Z18" i="13" s="1"/>
  <c r="Y17" i="13"/>
  <c r="Z17" i="13" s="1"/>
  <c r="X16" i="13"/>
  <c r="AA16" i="13" s="1"/>
  <c r="AA19" i="13"/>
  <c r="I41" i="38"/>
  <c r="M48" i="38" s="1"/>
  <c r="C38" i="38"/>
  <c r="C66" i="54" s="1"/>
  <c r="F66" i="54" s="1"/>
  <c r="C12" i="38"/>
  <c r="C61" i="54" s="1"/>
  <c r="C10" i="38"/>
  <c r="C59" i="54" s="1"/>
  <c r="F59" i="54" s="1"/>
  <c r="C9" i="38"/>
  <c r="Z9" i="38" s="1"/>
  <c r="C41" i="36"/>
  <c r="Q41" i="36" s="1"/>
  <c r="C40" i="36"/>
  <c r="F40" i="36" s="1"/>
  <c r="G40" i="36" s="1"/>
  <c r="H40" i="36" s="1"/>
  <c r="AG39" i="36"/>
  <c r="C38" i="36"/>
  <c r="F38" i="36" s="1"/>
  <c r="G38" i="36" s="1"/>
  <c r="H38" i="36" s="1"/>
  <c r="Z12" i="36"/>
  <c r="C11" i="36"/>
  <c r="I11" i="36" s="1"/>
  <c r="M17" i="36" s="1"/>
  <c r="C10" i="36"/>
  <c r="AG10" i="36" s="1"/>
  <c r="C9" i="36"/>
  <c r="I9" i="36" s="1"/>
  <c r="C41" i="34"/>
  <c r="F41" i="34" s="1"/>
  <c r="G41" i="34" s="1"/>
  <c r="H41" i="34" s="1"/>
  <c r="C40" i="34"/>
  <c r="C38" i="34"/>
  <c r="I38" i="34" s="1"/>
  <c r="G47" i="34" s="1"/>
  <c r="C12" i="34"/>
  <c r="Z12" i="34" s="1"/>
  <c r="C11" i="34"/>
  <c r="I11" i="34" s="1"/>
  <c r="Q10" i="34"/>
  <c r="C9" i="34"/>
  <c r="C41" i="13"/>
  <c r="C40" i="13"/>
  <c r="F40" i="13" s="1"/>
  <c r="G40" i="13" s="1"/>
  <c r="H40" i="13" s="1"/>
  <c r="F39" i="13"/>
  <c r="G39" i="13" s="1"/>
  <c r="H39" i="13" s="1"/>
  <c r="C38" i="13"/>
  <c r="F38" i="13" s="1"/>
  <c r="G38" i="13" s="1"/>
  <c r="H38" i="13" s="1"/>
  <c r="C12" i="13"/>
  <c r="C11" i="13"/>
  <c r="AG11" i="13" s="1"/>
  <c r="AG10" i="13"/>
  <c r="C9" i="13"/>
  <c r="O39" i="38"/>
  <c r="F12" i="38"/>
  <c r="G12" i="38" s="1"/>
  <c r="H12" i="38" s="1"/>
  <c r="F40" i="34"/>
  <c r="G40" i="34" s="1"/>
  <c r="H40" i="34" s="1"/>
  <c r="J56" i="53"/>
  <c r="AB57" i="40" s="1"/>
  <c r="F56" i="53"/>
  <c r="F57" i="53"/>
  <c r="J34" i="53"/>
  <c r="E524" i="41" s="1"/>
  <c r="F42" i="53"/>
  <c r="F44" i="53" s="1"/>
  <c r="C67" i="54"/>
  <c r="I67" i="54" s="1"/>
  <c r="A1" i="50"/>
  <c r="F1" i="16"/>
  <c r="G2" i="16"/>
  <c r="A2" i="50"/>
  <c r="F3" i="50"/>
  <c r="C6" i="50"/>
  <c r="B6" i="50" s="1"/>
  <c r="J6" i="50"/>
  <c r="J22" i="50" s="1"/>
  <c r="C7" i="50"/>
  <c r="B7" i="50" s="1"/>
  <c r="C8" i="50"/>
  <c r="B8" i="50" s="1"/>
  <c r="AL58" i="40"/>
  <c r="AL60" i="40"/>
  <c r="AM60" i="40"/>
  <c r="C9" i="50"/>
  <c r="G9" i="50" s="1"/>
  <c r="C10" i="50"/>
  <c r="D10" i="50" s="1"/>
  <c r="C11" i="50"/>
  <c r="F11" i="50" s="1"/>
  <c r="C12" i="50"/>
  <c r="D12" i="50" s="1"/>
  <c r="AM65" i="40"/>
  <c r="AN65" i="40" s="1"/>
  <c r="AM67" i="40"/>
  <c r="AH66" i="40"/>
  <c r="L968" i="41" s="1"/>
  <c r="AM69" i="40"/>
  <c r="AM71" i="40"/>
  <c r="L741" i="41"/>
  <c r="N743" i="41" s="1"/>
  <c r="AH70" i="40"/>
  <c r="C14" i="50"/>
  <c r="G14" i="50" s="1"/>
  <c r="C15" i="50"/>
  <c r="H15" i="50" s="1"/>
  <c r="C16" i="50"/>
  <c r="B16" i="50" s="1"/>
  <c r="AW91" i="40"/>
  <c r="AX91" i="40" s="1"/>
  <c r="AW95" i="40"/>
  <c r="AX95" i="40" s="1"/>
  <c r="C17" i="50"/>
  <c r="E17" i="50" s="1"/>
  <c r="C18" i="50"/>
  <c r="D18" i="50" s="1"/>
  <c r="C19" i="50"/>
  <c r="B19" i="50" s="1"/>
  <c r="C20" i="50"/>
  <c r="B20" i="50" s="1"/>
  <c r="BG6" i="40"/>
  <c r="AF24" i="13"/>
  <c r="AG24" i="13"/>
  <c r="AH24" i="13"/>
  <c r="BD24" i="13" s="1"/>
  <c r="AI24" i="13"/>
  <c r="AJ24" i="13"/>
  <c r="BE24" i="13" s="1"/>
  <c r="AK24" i="13"/>
  <c r="AL24" i="13"/>
  <c r="BF24" i="13" s="1"/>
  <c r="AN24" i="13"/>
  <c r="BG24" i="13" s="1"/>
  <c r="AF22" i="13"/>
  <c r="AG22" i="13"/>
  <c r="AH22" i="13"/>
  <c r="BD22" i="13" s="1"/>
  <c r="AI22" i="13"/>
  <c r="AJ22" i="13"/>
  <c r="BE22" i="13" s="1"/>
  <c r="AK22" i="13"/>
  <c r="AL22" i="13"/>
  <c r="BF22" i="13" s="1"/>
  <c r="AN22" i="13"/>
  <c r="BG22" i="13" s="1"/>
  <c r="AF20" i="13"/>
  <c r="AG20" i="13"/>
  <c r="AH20" i="13"/>
  <c r="BD20" i="13" s="1"/>
  <c r="AI20" i="13"/>
  <c r="AJ20" i="13"/>
  <c r="AK20" i="13"/>
  <c r="AL20" i="13"/>
  <c r="BF20" i="13" s="1"/>
  <c r="AN20" i="13"/>
  <c r="BG20" i="13" s="1"/>
  <c r="CK18" i="13"/>
  <c r="CL18" i="13"/>
  <c r="AF21" i="13"/>
  <c r="BC21" i="13" s="1"/>
  <c r="AG21" i="13"/>
  <c r="AH21" i="13"/>
  <c r="AI21" i="13"/>
  <c r="AJ21" i="13"/>
  <c r="BE21" i="13" s="1"/>
  <c r="AK21" i="13"/>
  <c r="AL21" i="13"/>
  <c r="BF21" i="13" s="1"/>
  <c r="AM21" i="13"/>
  <c r="AN21" i="13"/>
  <c r="BG21" i="13" s="1"/>
  <c r="AO21" i="13"/>
  <c r="AF23" i="13"/>
  <c r="BC23" i="13" s="1"/>
  <c r="AG23" i="13"/>
  <c r="AH23" i="13"/>
  <c r="BD23" i="13" s="1"/>
  <c r="AI23" i="13"/>
  <c r="AJ23" i="13"/>
  <c r="BE23" i="13" s="1"/>
  <c r="AK23" i="13"/>
  <c r="AL23" i="13"/>
  <c r="BF23" i="13" s="1"/>
  <c r="AM23" i="13"/>
  <c r="AN23" i="13"/>
  <c r="BG23" i="13" s="1"/>
  <c r="AO23" i="13"/>
  <c r="CK19" i="13"/>
  <c r="CL19" i="13"/>
  <c r="AF25" i="13"/>
  <c r="BC25" i="13" s="1"/>
  <c r="AG25" i="13"/>
  <c r="AH25" i="13"/>
  <c r="BD25" i="13" s="1"/>
  <c r="AI25" i="13"/>
  <c r="AJ25" i="13"/>
  <c r="AK25" i="13"/>
  <c r="AL25" i="13"/>
  <c r="BF25" i="13" s="1"/>
  <c r="AN25" i="13"/>
  <c r="BG25" i="13" s="1"/>
  <c r="CK20" i="13"/>
  <c r="CL20" i="13"/>
  <c r="CK21" i="13"/>
  <c r="CL21" i="13"/>
  <c r="AM76" i="40"/>
  <c r="AN76" i="40" s="1"/>
  <c r="BG34" i="40"/>
  <c r="AF53" i="13"/>
  <c r="AG53" i="13"/>
  <c r="AH53" i="13"/>
  <c r="BD53" i="13" s="1"/>
  <c r="AI53" i="13"/>
  <c r="AJ53" i="13"/>
  <c r="BE53" i="13" s="1"/>
  <c r="AK53" i="13"/>
  <c r="AL53" i="13"/>
  <c r="BF53" i="13" s="1"/>
  <c r="AM53" i="13"/>
  <c r="AN53" i="13"/>
  <c r="BG53" i="13" s="1"/>
  <c r="AO53" i="13"/>
  <c r="AF51" i="13"/>
  <c r="BC51" i="13" s="1"/>
  <c r="AG51" i="13"/>
  <c r="AH51" i="13"/>
  <c r="BD51" i="13" s="1"/>
  <c r="AI51" i="13"/>
  <c r="AJ51" i="13"/>
  <c r="AK51" i="13"/>
  <c r="AL51" i="13"/>
  <c r="BF51" i="13" s="1"/>
  <c r="AM51" i="13"/>
  <c r="AN51" i="13"/>
  <c r="BG51" i="13" s="1"/>
  <c r="AF49" i="13"/>
  <c r="BC49" i="13" s="1"/>
  <c r="AG49" i="13"/>
  <c r="AH49" i="13"/>
  <c r="AI49" i="13"/>
  <c r="AJ49" i="13"/>
  <c r="AK49" i="13"/>
  <c r="AL49" i="13"/>
  <c r="BF49" i="13" s="1"/>
  <c r="AM49" i="13"/>
  <c r="AN49" i="13"/>
  <c r="BG49" i="13" s="1"/>
  <c r="CK47" i="13"/>
  <c r="CL47" i="13"/>
  <c r="AF50" i="13"/>
  <c r="AG50" i="13"/>
  <c r="AH50" i="13"/>
  <c r="AI50" i="13"/>
  <c r="AJ50" i="13"/>
  <c r="AK50" i="13"/>
  <c r="AL50" i="13"/>
  <c r="BF50" i="13" s="1"/>
  <c r="AM50" i="13"/>
  <c r="AN50" i="13"/>
  <c r="BG50" i="13" s="1"/>
  <c r="AO50" i="13"/>
  <c r="AF52" i="13"/>
  <c r="BC52" i="13" s="1"/>
  <c r="AG52" i="13"/>
  <c r="AH52" i="13"/>
  <c r="BD52" i="13" s="1"/>
  <c r="AI52" i="13"/>
  <c r="AJ52" i="13"/>
  <c r="BE52" i="13" s="1"/>
  <c r="AK52" i="13"/>
  <c r="AL52" i="13"/>
  <c r="BF52" i="13" s="1"/>
  <c r="AN52" i="13"/>
  <c r="BG52" i="13" s="1"/>
  <c r="CK48" i="13"/>
  <c r="CL48" i="13"/>
  <c r="AF54" i="13"/>
  <c r="BC54" i="13" s="1"/>
  <c r="AG54" i="13"/>
  <c r="AH54" i="13"/>
  <c r="BD54" i="13" s="1"/>
  <c r="AI54" i="13"/>
  <c r="AJ54" i="13"/>
  <c r="BE54" i="13" s="1"/>
  <c r="AK54" i="13"/>
  <c r="AL54" i="13"/>
  <c r="BF54" i="13" s="1"/>
  <c r="AN54" i="13"/>
  <c r="BG54" i="13" s="1"/>
  <c r="CK49" i="13"/>
  <c r="CL49" i="13"/>
  <c r="CK50" i="13"/>
  <c r="CL50" i="13"/>
  <c r="AF24" i="34"/>
  <c r="BC24" i="34" s="1"/>
  <c r="AG24" i="34"/>
  <c r="AH24" i="34"/>
  <c r="BD24" i="34" s="1"/>
  <c r="AI24" i="34"/>
  <c r="AJ24" i="34"/>
  <c r="BE24" i="34" s="1"/>
  <c r="AK24" i="34"/>
  <c r="AL24" i="34"/>
  <c r="BF24" i="34"/>
  <c r="AM24" i="34"/>
  <c r="AN24" i="34"/>
  <c r="BG24" i="34" s="1"/>
  <c r="AO24" i="34"/>
  <c r="AF22" i="34"/>
  <c r="BC22" i="34" s="1"/>
  <c r="AG22" i="34"/>
  <c r="AH22" i="34"/>
  <c r="AI22" i="34"/>
  <c r="AJ22" i="34"/>
  <c r="BE22" i="34" s="1"/>
  <c r="AK22" i="34"/>
  <c r="AL22" i="34"/>
  <c r="BF22" i="34" s="1"/>
  <c r="AM22" i="34"/>
  <c r="AN22" i="34"/>
  <c r="BG22" i="34" s="1"/>
  <c r="AF20" i="34"/>
  <c r="BC20" i="34" s="1"/>
  <c r="AG20" i="34"/>
  <c r="AH20" i="34"/>
  <c r="BD20" i="34" s="1"/>
  <c r="AI20" i="34"/>
  <c r="AJ20" i="34"/>
  <c r="BE20" i="34" s="1"/>
  <c r="AK20" i="34"/>
  <c r="AL20" i="34"/>
  <c r="BF20" i="34" s="1"/>
  <c r="AM20" i="34"/>
  <c r="AN20" i="34"/>
  <c r="BG20" i="34" s="1"/>
  <c r="CK18" i="34"/>
  <c r="CL18" i="34"/>
  <c r="AF21" i="34"/>
  <c r="AG21" i="34"/>
  <c r="AH21" i="34"/>
  <c r="BD21" i="34" s="1"/>
  <c r="AI21" i="34"/>
  <c r="AJ21" i="34"/>
  <c r="BE21" i="34" s="1"/>
  <c r="AK21" i="34"/>
  <c r="AL21" i="34"/>
  <c r="BF21" i="34" s="1"/>
  <c r="AM21" i="34"/>
  <c r="AN21" i="34"/>
  <c r="BG21" i="34" s="1"/>
  <c r="AO21" i="34"/>
  <c r="AF23" i="34"/>
  <c r="BC23" i="34" s="1"/>
  <c r="AG23" i="34"/>
  <c r="AH23" i="34"/>
  <c r="BD23" i="34" s="1"/>
  <c r="AI23" i="34"/>
  <c r="AJ23" i="34"/>
  <c r="BE23" i="34" s="1"/>
  <c r="AK23" i="34"/>
  <c r="AL23" i="34"/>
  <c r="BF23" i="34" s="1"/>
  <c r="AM23" i="34"/>
  <c r="AN23" i="34"/>
  <c r="BG23" i="34" s="1"/>
  <c r="CK19" i="34"/>
  <c r="CL19" i="34"/>
  <c r="AF25" i="34"/>
  <c r="BC25" i="34" s="1"/>
  <c r="AG25" i="34"/>
  <c r="AH25" i="34"/>
  <c r="BD25" i="34" s="1"/>
  <c r="AI25" i="34"/>
  <c r="AJ25" i="34"/>
  <c r="BE25" i="34" s="1"/>
  <c r="AK25" i="34"/>
  <c r="AL25" i="34"/>
  <c r="BF25" i="34" s="1"/>
  <c r="AM25" i="34"/>
  <c r="AN25" i="34"/>
  <c r="BG25" i="34" s="1"/>
  <c r="CK20" i="34"/>
  <c r="CL20" i="34"/>
  <c r="CK21" i="34"/>
  <c r="CL21" i="34"/>
  <c r="AO23" i="34"/>
  <c r="AO22" i="34"/>
  <c r="AF53" i="34"/>
  <c r="BC53" i="34" s="1"/>
  <c r="AG53" i="34"/>
  <c r="AH53" i="34"/>
  <c r="BD53" i="34" s="1"/>
  <c r="AI53" i="34"/>
  <c r="AJ53" i="34"/>
  <c r="BE53" i="34" s="1"/>
  <c r="AK53" i="34"/>
  <c r="AL53" i="34"/>
  <c r="BF53" i="34" s="1"/>
  <c r="AM53" i="34"/>
  <c r="AN53" i="34"/>
  <c r="BG53" i="34" s="1"/>
  <c r="AO53" i="34"/>
  <c r="AF51" i="34"/>
  <c r="BC51" i="34" s="1"/>
  <c r="AG51" i="34"/>
  <c r="AH51" i="34"/>
  <c r="BD51" i="34" s="1"/>
  <c r="AI51" i="34"/>
  <c r="AJ51" i="34"/>
  <c r="BE51" i="34" s="1"/>
  <c r="AK51" i="34"/>
  <c r="AL51" i="34"/>
  <c r="BF51" i="34"/>
  <c r="AN51" i="34"/>
  <c r="BG51" i="34" s="1"/>
  <c r="AF49" i="34"/>
  <c r="BC49" i="34" s="1"/>
  <c r="AG49" i="34"/>
  <c r="AH49" i="34"/>
  <c r="BD49" i="34" s="1"/>
  <c r="AI49" i="34"/>
  <c r="AJ49" i="34"/>
  <c r="BE49" i="34" s="1"/>
  <c r="AK49" i="34"/>
  <c r="AL49" i="34"/>
  <c r="BF49" i="34" s="1"/>
  <c r="AM49" i="34"/>
  <c r="AN49" i="34"/>
  <c r="BG49" i="34"/>
  <c r="CK47" i="34"/>
  <c r="CL47" i="34"/>
  <c r="AF50" i="34"/>
  <c r="BC50" i="34"/>
  <c r="AG50" i="34"/>
  <c r="AH50" i="34"/>
  <c r="BD50" i="34" s="1"/>
  <c r="AI50" i="34"/>
  <c r="AJ50" i="34"/>
  <c r="BE50" i="34" s="1"/>
  <c r="AK50" i="34"/>
  <c r="AL50" i="34"/>
  <c r="BF50" i="34" s="1"/>
  <c r="AN50" i="34"/>
  <c r="BG50" i="34" s="1"/>
  <c r="AF52" i="34"/>
  <c r="BC52" i="34" s="1"/>
  <c r="AG52" i="34"/>
  <c r="AH52" i="34"/>
  <c r="BD52" i="34" s="1"/>
  <c r="AI52" i="34"/>
  <c r="AJ52" i="34"/>
  <c r="BE52" i="34" s="1"/>
  <c r="AK52" i="34"/>
  <c r="AL52" i="34"/>
  <c r="BF52" i="34" s="1"/>
  <c r="AN52" i="34"/>
  <c r="BG52" i="34"/>
  <c r="CK48" i="34"/>
  <c r="CL48" i="34"/>
  <c r="AF54" i="34"/>
  <c r="BC54" i="34"/>
  <c r="AG54" i="34"/>
  <c r="AH54" i="34"/>
  <c r="BD54" i="34" s="1"/>
  <c r="AI54" i="34"/>
  <c r="AJ54" i="34"/>
  <c r="BE54" i="34" s="1"/>
  <c r="AK54" i="34"/>
  <c r="AL54" i="34"/>
  <c r="BF54" i="34" s="1"/>
  <c r="AN54" i="34"/>
  <c r="BG54" i="34" s="1"/>
  <c r="CK49" i="34"/>
  <c r="CL49" i="34"/>
  <c r="CK50" i="34"/>
  <c r="CL50" i="34"/>
  <c r="AF24" i="36"/>
  <c r="BC24" i="36" s="1"/>
  <c r="AG24" i="36"/>
  <c r="AH24" i="36"/>
  <c r="BD24" i="36" s="1"/>
  <c r="AI24" i="36"/>
  <c r="AJ24" i="36"/>
  <c r="BE24" i="36" s="1"/>
  <c r="AK24" i="36"/>
  <c r="AL24" i="36"/>
  <c r="BF24" i="36" s="1"/>
  <c r="AN24" i="36"/>
  <c r="BG24" i="36" s="1"/>
  <c r="AF22" i="36"/>
  <c r="BC22" i="36" s="1"/>
  <c r="AG22" i="36"/>
  <c r="AH22" i="36"/>
  <c r="BD22" i="36" s="1"/>
  <c r="AI22" i="36"/>
  <c r="AJ22" i="36"/>
  <c r="BE22" i="36" s="1"/>
  <c r="AK22" i="36"/>
  <c r="AL22" i="36"/>
  <c r="BF22" i="36" s="1"/>
  <c r="AN22" i="36"/>
  <c r="BG22" i="36" s="1"/>
  <c r="AF20" i="36"/>
  <c r="BC20" i="36" s="1"/>
  <c r="AG20" i="36"/>
  <c r="AH20" i="36"/>
  <c r="BD20" i="36" s="1"/>
  <c r="AI20" i="36"/>
  <c r="AJ20" i="36"/>
  <c r="BE20" i="36" s="1"/>
  <c r="AK20" i="36"/>
  <c r="AL20" i="36"/>
  <c r="BF20" i="36"/>
  <c r="AN20" i="36"/>
  <c r="BG20" i="36" s="1"/>
  <c r="CK18" i="36"/>
  <c r="CL18" i="36"/>
  <c r="AF21" i="36"/>
  <c r="BC21" i="36" s="1"/>
  <c r="AG21" i="36"/>
  <c r="AH21" i="36"/>
  <c r="BD21" i="36" s="1"/>
  <c r="AI21" i="36"/>
  <c r="AJ21" i="36"/>
  <c r="BE21" i="36" s="1"/>
  <c r="AK21" i="36"/>
  <c r="AL21" i="36"/>
  <c r="BF21" i="36" s="1"/>
  <c r="AM21" i="36"/>
  <c r="AN21" i="36"/>
  <c r="BG21" i="36" s="1"/>
  <c r="AO21" i="36"/>
  <c r="AF23" i="36"/>
  <c r="BC23" i="36" s="1"/>
  <c r="AG23" i="36"/>
  <c r="AH23" i="36"/>
  <c r="BD23" i="36" s="1"/>
  <c r="AI23" i="36"/>
  <c r="AJ23" i="36"/>
  <c r="BE23" i="36" s="1"/>
  <c r="AK23" i="36"/>
  <c r="AL23" i="36"/>
  <c r="BF23" i="36" s="1"/>
  <c r="AM23" i="36"/>
  <c r="AN23" i="36"/>
  <c r="BG23" i="36" s="1"/>
  <c r="CK19" i="36"/>
  <c r="CL19" i="36"/>
  <c r="AF25" i="36"/>
  <c r="BC25" i="36" s="1"/>
  <c r="AG25" i="36"/>
  <c r="AH25" i="36"/>
  <c r="BD25" i="36" s="1"/>
  <c r="AI25" i="36"/>
  <c r="AJ25" i="36"/>
  <c r="BE25" i="36" s="1"/>
  <c r="AK25" i="36"/>
  <c r="AL25" i="36"/>
  <c r="BF25" i="36" s="1"/>
  <c r="AN25" i="36"/>
  <c r="BG25" i="36" s="1"/>
  <c r="CK20" i="36"/>
  <c r="CL20" i="36"/>
  <c r="CK21" i="36"/>
  <c r="CL21" i="36"/>
  <c r="AM78" i="40"/>
  <c r="AH77" i="40"/>
  <c r="A794" i="41" s="1"/>
  <c r="A797" i="41" s="1"/>
  <c r="BG22" i="40"/>
  <c r="AM80" i="40"/>
  <c r="L532" i="41" s="1"/>
  <c r="L535" i="41" s="1"/>
  <c r="BG18" i="40"/>
  <c r="AF53" i="36"/>
  <c r="BC53" i="36" s="1"/>
  <c r="AG53" i="36"/>
  <c r="AH53" i="36"/>
  <c r="BD53" i="36" s="1"/>
  <c r="AI53" i="36"/>
  <c r="AJ53" i="36"/>
  <c r="BE53" i="36" s="1"/>
  <c r="AK53" i="36"/>
  <c r="AL53" i="36"/>
  <c r="BF53" i="36" s="1"/>
  <c r="AM53" i="36"/>
  <c r="AN53" i="36"/>
  <c r="BG53" i="36" s="1"/>
  <c r="AF51" i="36"/>
  <c r="BC51" i="36" s="1"/>
  <c r="AG51" i="36"/>
  <c r="AH51" i="36"/>
  <c r="BD51" i="36" s="1"/>
  <c r="AI51" i="36"/>
  <c r="AJ51" i="36"/>
  <c r="BE51" i="36" s="1"/>
  <c r="AK51" i="36"/>
  <c r="AL51" i="36"/>
  <c r="BF51" i="36" s="1"/>
  <c r="AM51" i="36"/>
  <c r="AN51" i="36"/>
  <c r="BG51" i="36" s="1"/>
  <c r="AO51" i="36"/>
  <c r="AF49" i="36"/>
  <c r="BC49" i="36" s="1"/>
  <c r="AG49" i="36"/>
  <c r="AH49" i="36"/>
  <c r="BD49" i="36" s="1"/>
  <c r="AI49" i="36"/>
  <c r="AJ49" i="36"/>
  <c r="BE49" i="36" s="1"/>
  <c r="AK49" i="36"/>
  <c r="AL49" i="36"/>
  <c r="BF49" i="36" s="1"/>
  <c r="AM49" i="36"/>
  <c r="AN49" i="36"/>
  <c r="BG49" i="36" s="1"/>
  <c r="AO49" i="36"/>
  <c r="CK47" i="36"/>
  <c r="CL47" i="36"/>
  <c r="AF50" i="36"/>
  <c r="BC50" i="36" s="1"/>
  <c r="AG50" i="36"/>
  <c r="AH50" i="36"/>
  <c r="BD50" i="36" s="1"/>
  <c r="AI50" i="36"/>
  <c r="AJ50" i="36"/>
  <c r="BE50" i="36" s="1"/>
  <c r="AK50" i="36"/>
  <c r="AL50" i="36"/>
  <c r="BF50" i="36" s="1"/>
  <c r="AM50" i="36"/>
  <c r="AN50" i="36"/>
  <c r="BG50" i="36" s="1"/>
  <c r="AO50" i="36"/>
  <c r="AF52" i="36"/>
  <c r="BC52" i="36" s="1"/>
  <c r="AG52" i="36"/>
  <c r="AH52" i="36"/>
  <c r="BD52" i="36" s="1"/>
  <c r="AI52" i="36"/>
  <c r="AJ52" i="36"/>
  <c r="BE52" i="36" s="1"/>
  <c r="AK52" i="36"/>
  <c r="AL52" i="36"/>
  <c r="BF52" i="36" s="1"/>
  <c r="AM52" i="36"/>
  <c r="AN52" i="36"/>
  <c r="BG52" i="36" s="1"/>
  <c r="AO52" i="36"/>
  <c r="CK48" i="36"/>
  <c r="CL48" i="36"/>
  <c r="AF54" i="36"/>
  <c r="BC54" i="36" s="1"/>
  <c r="AG54" i="36"/>
  <c r="AH54" i="36"/>
  <c r="BD54" i="36" s="1"/>
  <c r="AI54" i="36"/>
  <c r="AJ54" i="36"/>
  <c r="BE54" i="36" s="1"/>
  <c r="AK54" i="36"/>
  <c r="AL54" i="36"/>
  <c r="BF54" i="36" s="1"/>
  <c r="AM54" i="36"/>
  <c r="AN54" i="36"/>
  <c r="BG54" i="36" s="1"/>
  <c r="AO54" i="36"/>
  <c r="CK49" i="36"/>
  <c r="CL49" i="36"/>
  <c r="CK50" i="36"/>
  <c r="CL50" i="36"/>
  <c r="AM82" i="40"/>
  <c r="L537" i="41" s="1"/>
  <c r="BG14" i="40"/>
  <c r="AF24" i="38"/>
  <c r="BC24" i="38"/>
  <c r="AG24" i="38"/>
  <c r="AH24" i="38"/>
  <c r="BD24" i="38" s="1"/>
  <c r="AI24" i="38"/>
  <c r="AJ24" i="38"/>
  <c r="BE24" i="38" s="1"/>
  <c r="AK24" i="38"/>
  <c r="AL24" i="38"/>
  <c r="BF24" i="38" s="1"/>
  <c r="AN24" i="38"/>
  <c r="BG24" i="38" s="1"/>
  <c r="AF22" i="38"/>
  <c r="BC22" i="38" s="1"/>
  <c r="AG22" i="38"/>
  <c r="AH22" i="38"/>
  <c r="BD22" i="38" s="1"/>
  <c r="AI22" i="38"/>
  <c r="AJ22" i="38"/>
  <c r="BE22" i="38" s="1"/>
  <c r="AK22" i="38"/>
  <c r="AL22" i="38"/>
  <c r="BF22" i="38" s="1"/>
  <c r="AM22" i="38"/>
  <c r="AN22" i="38"/>
  <c r="BG22" i="38" s="1"/>
  <c r="AO22" i="38"/>
  <c r="AF20" i="38"/>
  <c r="BC20" i="38" s="1"/>
  <c r="AG20" i="38"/>
  <c r="AH20" i="38"/>
  <c r="BD20" i="38" s="1"/>
  <c r="AI20" i="38"/>
  <c r="AJ20" i="38"/>
  <c r="BE20" i="38" s="1"/>
  <c r="AK20" i="38"/>
  <c r="AL20" i="38"/>
  <c r="BF20" i="38" s="1"/>
  <c r="AM20" i="38"/>
  <c r="AN20" i="38"/>
  <c r="BG20" i="38" s="1"/>
  <c r="CK18" i="38"/>
  <c r="CL18" i="38"/>
  <c r="AF21" i="38"/>
  <c r="BC21" i="38" s="1"/>
  <c r="AG21" i="38"/>
  <c r="AH21" i="38"/>
  <c r="BD21" i="38" s="1"/>
  <c r="AI21" i="38"/>
  <c r="AJ21" i="38"/>
  <c r="BE21" i="38" s="1"/>
  <c r="AK21" i="38"/>
  <c r="AL21" i="38"/>
  <c r="BF21" i="38" s="1"/>
  <c r="AM21" i="38"/>
  <c r="AN21" i="38"/>
  <c r="BG21" i="38" s="1"/>
  <c r="AO21" i="38"/>
  <c r="AF23" i="38"/>
  <c r="BC23" i="38" s="1"/>
  <c r="AG23" i="38"/>
  <c r="AH23" i="38"/>
  <c r="BD23" i="38" s="1"/>
  <c r="AI23" i="38"/>
  <c r="AJ23" i="38"/>
  <c r="BE23" i="38" s="1"/>
  <c r="AK23" i="38"/>
  <c r="AL23" i="38"/>
  <c r="BF23" i="38" s="1"/>
  <c r="AM23" i="38"/>
  <c r="AN23" i="38"/>
  <c r="BG23" i="38" s="1"/>
  <c r="AO23" i="38"/>
  <c r="CK19" i="38"/>
  <c r="CL19" i="38"/>
  <c r="AF25" i="38"/>
  <c r="BC25" i="38" s="1"/>
  <c r="AG25" i="38"/>
  <c r="AH25" i="38"/>
  <c r="BD25" i="38" s="1"/>
  <c r="AI25" i="38"/>
  <c r="AJ25" i="38"/>
  <c r="BE25" i="38" s="1"/>
  <c r="AK25" i="38"/>
  <c r="AL25" i="38"/>
  <c r="BF25" i="38" s="1"/>
  <c r="AM25" i="38"/>
  <c r="AN25" i="38"/>
  <c r="BG25" i="38" s="1"/>
  <c r="AO25" i="38"/>
  <c r="CK20" i="38"/>
  <c r="CL20" i="38"/>
  <c r="CK21" i="38"/>
  <c r="CL21" i="38"/>
  <c r="AM84" i="40"/>
  <c r="BG26" i="40"/>
  <c r="AM86" i="40"/>
  <c r="A567" i="41" s="1"/>
  <c r="BG30" i="40"/>
  <c r="AF53" i="38"/>
  <c r="BC53" i="38" s="1"/>
  <c r="AG53" i="38"/>
  <c r="AH53" i="38"/>
  <c r="BD53" i="38" s="1"/>
  <c r="AI53" i="38"/>
  <c r="AJ53" i="38"/>
  <c r="BE53" i="38" s="1"/>
  <c r="AK53" i="38"/>
  <c r="AL53" i="38"/>
  <c r="BF53" i="38" s="1"/>
  <c r="AM53" i="38"/>
  <c r="AN53" i="38"/>
  <c r="BG53" i="38" s="1"/>
  <c r="AO53" i="38"/>
  <c r="AF51" i="38"/>
  <c r="BC51" i="38" s="1"/>
  <c r="AG51" i="38"/>
  <c r="AH51" i="38"/>
  <c r="BD51" i="38" s="1"/>
  <c r="AI51" i="38"/>
  <c r="AJ51" i="38"/>
  <c r="BE51" i="38" s="1"/>
  <c r="AK51" i="38"/>
  <c r="AL51" i="38"/>
  <c r="BF51" i="38" s="1"/>
  <c r="AN51" i="38"/>
  <c r="BG51" i="38" s="1"/>
  <c r="AF49" i="38"/>
  <c r="BC49" i="38" s="1"/>
  <c r="AG49" i="38"/>
  <c r="AH49" i="38"/>
  <c r="BD49" i="38" s="1"/>
  <c r="AI49" i="38"/>
  <c r="AJ49" i="38"/>
  <c r="BE49" i="38" s="1"/>
  <c r="BM49" i="38" s="1"/>
  <c r="AK49" i="38"/>
  <c r="AL49" i="38"/>
  <c r="BF49" i="38" s="1"/>
  <c r="AN49" i="38"/>
  <c r="BG49" i="38" s="1"/>
  <c r="CK47" i="38"/>
  <c r="CL47" i="38"/>
  <c r="AF50" i="38"/>
  <c r="BC50" i="38" s="1"/>
  <c r="AG50" i="38"/>
  <c r="AH50" i="38"/>
  <c r="BD50" i="38" s="1"/>
  <c r="AI50" i="38"/>
  <c r="AJ50" i="38"/>
  <c r="BE50" i="38" s="1"/>
  <c r="AK50" i="38"/>
  <c r="AL50" i="38"/>
  <c r="BF50" i="38" s="1"/>
  <c r="AM50" i="38"/>
  <c r="AN50" i="38"/>
  <c r="BG50" i="38" s="1"/>
  <c r="AF52" i="38"/>
  <c r="BC52" i="38" s="1"/>
  <c r="AG52" i="38"/>
  <c r="AH52" i="38"/>
  <c r="BD52" i="38" s="1"/>
  <c r="AI52" i="38"/>
  <c r="AJ52" i="38"/>
  <c r="BE52" i="38" s="1"/>
  <c r="AK52" i="38"/>
  <c r="AL52" i="38"/>
  <c r="BF52" i="38" s="1"/>
  <c r="AM52" i="38"/>
  <c r="AN52" i="38"/>
  <c r="BG52" i="38" s="1"/>
  <c r="CK48" i="38"/>
  <c r="CL48" i="38"/>
  <c r="AF54" i="38"/>
  <c r="BC54" i="38" s="1"/>
  <c r="AG54" i="38"/>
  <c r="AH54" i="38"/>
  <c r="BD54" i="38" s="1"/>
  <c r="AI54" i="38"/>
  <c r="AJ54" i="38"/>
  <c r="BE54" i="38" s="1"/>
  <c r="AK54" i="38"/>
  <c r="AL54" i="38"/>
  <c r="BF54" i="38" s="1"/>
  <c r="AM54" i="38"/>
  <c r="AN54" i="38"/>
  <c r="AO54" i="38"/>
  <c r="BG54" i="38"/>
  <c r="CK49" i="38"/>
  <c r="CL49" i="38"/>
  <c r="CK50" i="38"/>
  <c r="CL50" i="38"/>
  <c r="AM88" i="40"/>
  <c r="BG10" i="40"/>
  <c r="AM90" i="40"/>
  <c r="L567" i="41" s="1"/>
  <c r="L568" i="41" s="1"/>
  <c r="L576" i="41" s="1"/>
  <c r="J21" i="50"/>
  <c r="C22" i="50"/>
  <c r="B22" i="50" s="1"/>
  <c r="C23" i="50"/>
  <c r="B23" i="50" s="1"/>
  <c r="C24" i="50"/>
  <c r="G24" i="50" s="1"/>
  <c r="K58" i="40"/>
  <c r="K60" i="40"/>
  <c r="L60" i="40" s="1"/>
  <c r="C25" i="50"/>
  <c r="E25" i="50" s="1"/>
  <c r="C26" i="50"/>
  <c r="D26" i="50" s="1"/>
  <c r="J26" i="50"/>
  <c r="C27" i="50"/>
  <c r="B27" i="50" s="1"/>
  <c r="C28" i="50"/>
  <c r="B28" i="50" s="1"/>
  <c r="J28" i="50"/>
  <c r="L65" i="40"/>
  <c r="A620" i="41" s="1"/>
  <c r="L67" i="40"/>
  <c r="A625" i="41" s="1"/>
  <c r="F66" i="40"/>
  <c r="L69" i="40"/>
  <c r="L71" i="40"/>
  <c r="M71" i="40" s="1"/>
  <c r="F70" i="40"/>
  <c r="L857" i="41" s="1"/>
  <c r="C30" i="50"/>
  <c r="B30" i="50" s="1"/>
  <c r="J30" i="50"/>
  <c r="C31" i="50"/>
  <c r="B31" i="50" s="1"/>
  <c r="C32" i="50"/>
  <c r="G32" i="50" s="1"/>
  <c r="J32" i="50"/>
  <c r="V91" i="40"/>
  <c r="L880" i="41" s="1"/>
  <c r="L883" i="41" s="1"/>
  <c r="V95" i="40"/>
  <c r="L885" i="41" s="1"/>
  <c r="C33" i="50"/>
  <c r="F33" i="50" s="1"/>
  <c r="C34" i="50"/>
  <c r="B34" i="50" s="1"/>
  <c r="J34" i="50"/>
  <c r="C35" i="50"/>
  <c r="B35" i="50" s="1"/>
  <c r="C36" i="50"/>
  <c r="F36" i="50" s="1"/>
  <c r="J36" i="50"/>
  <c r="BG21" i="40"/>
  <c r="BG16" i="40"/>
  <c r="BG11" i="40"/>
  <c r="P12" i="40"/>
  <c r="M557" i="41" s="1"/>
  <c r="M558" i="41" s="1"/>
  <c r="BG31" i="40"/>
  <c r="BG28" i="40"/>
  <c r="P16" i="40"/>
  <c r="L126" i="41" s="1"/>
  <c r="L127" i="41" s="1"/>
  <c r="L138" i="41" s="1"/>
  <c r="BG25" i="40"/>
  <c r="G77" i="40"/>
  <c r="BG37" i="40"/>
  <c r="BG32" i="40"/>
  <c r="BG27" i="40"/>
  <c r="P22" i="40"/>
  <c r="M527" i="41" s="1"/>
  <c r="M528" i="41" s="1"/>
  <c r="BG15" i="40"/>
  <c r="BG12" i="40"/>
  <c r="P26" i="40"/>
  <c r="L156" i="41" s="1"/>
  <c r="L159" i="41" s="1"/>
  <c r="BG9" i="40"/>
  <c r="G81" i="40"/>
  <c r="B91" i="40"/>
  <c r="C91" i="40" s="1"/>
  <c r="BG13" i="40"/>
  <c r="BG8" i="40"/>
  <c r="BG19" i="40"/>
  <c r="P32" i="40"/>
  <c r="BG23" i="40"/>
  <c r="BG36" i="40"/>
  <c r="P36" i="40"/>
  <c r="B499" i="41" s="1"/>
  <c r="B500" i="41" s="1"/>
  <c r="BG33" i="40"/>
  <c r="L678" i="41"/>
  <c r="L679" i="41" s="1"/>
  <c r="L690" i="41" s="1"/>
  <c r="BG29" i="40"/>
  <c r="BG24" i="40"/>
  <c r="BG35" i="40"/>
  <c r="P42" i="40"/>
  <c r="A219" i="41" s="1"/>
  <c r="A222" i="41" s="1"/>
  <c r="BG7" i="40"/>
  <c r="BG20" i="40"/>
  <c r="P46" i="40"/>
  <c r="B933" i="41" s="1"/>
  <c r="B934" i="41" s="1"/>
  <c r="BG17" i="40"/>
  <c r="L683" i="41"/>
  <c r="L684" i="41" s="1"/>
  <c r="L692" i="41" s="1"/>
  <c r="B95" i="40"/>
  <c r="L915" i="41" s="1"/>
  <c r="C37" i="50"/>
  <c r="J37" i="50"/>
  <c r="B145" i="16"/>
  <c r="E40" i="50" s="1"/>
  <c r="A4" i="16"/>
  <c r="A1" i="38" s="1"/>
  <c r="A30" i="38" s="1"/>
  <c r="F5" i="54"/>
  <c r="T5" i="54"/>
  <c r="Q15" i="54"/>
  <c r="C19" i="54"/>
  <c r="F19" i="54" s="1"/>
  <c r="Q23" i="54"/>
  <c r="C27" i="54"/>
  <c r="Z27" i="54" s="1"/>
  <c r="Q31" i="54"/>
  <c r="C35" i="54"/>
  <c r="I35" i="54" s="1"/>
  <c r="C36" i="54"/>
  <c r="F36" i="54" s="1"/>
  <c r="Q39" i="54"/>
  <c r="C43" i="54"/>
  <c r="F43" i="54" s="1"/>
  <c r="Q47" i="54"/>
  <c r="Q55" i="54"/>
  <c r="Q63" i="54"/>
  <c r="Z67" i="54"/>
  <c r="E2" i="41"/>
  <c r="B19" i="53"/>
  <c r="P2" i="41" s="1"/>
  <c r="A6" i="16"/>
  <c r="B235" i="41" s="1"/>
  <c r="A4" i="41"/>
  <c r="A62" i="41" s="1"/>
  <c r="G4" i="41"/>
  <c r="R4" i="41"/>
  <c r="F5" i="41"/>
  <c r="Q5" i="41"/>
  <c r="B20" i="53"/>
  <c r="E32" i="41" s="1"/>
  <c r="B21" i="53"/>
  <c r="P32" i="41" s="1"/>
  <c r="G34" i="41"/>
  <c r="R34" i="41"/>
  <c r="F35" i="41"/>
  <c r="Q35" i="41"/>
  <c r="B22" i="53"/>
  <c r="E60" i="41" s="1"/>
  <c r="B23" i="53"/>
  <c r="P60" i="41" s="1"/>
  <c r="G62" i="41"/>
  <c r="R62" i="41"/>
  <c r="F63" i="41"/>
  <c r="Q63" i="41"/>
  <c r="B24" i="53"/>
  <c r="E90" i="41" s="1"/>
  <c r="B25" i="53"/>
  <c r="P90" i="41" s="1"/>
  <c r="G92" i="41"/>
  <c r="R92" i="41"/>
  <c r="F93" i="41"/>
  <c r="Q93" i="41"/>
  <c r="E118" i="41"/>
  <c r="F19" i="53"/>
  <c r="P118" i="41"/>
  <c r="A120" i="41"/>
  <c r="A150" i="41" s="1"/>
  <c r="G120" i="41"/>
  <c r="R120" i="41"/>
  <c r="B121" i="41"/>
  <c r="B122" i="41" s="1"/>
  <c r="F121" i="41"/>
  <c r="M121" i="41"/>
  <c r="M122" i="41" s="1"/>
  <c r="Q121" i="41"/>
  <c r="F20" i="53"/>
  <c r="E148" i="41"/>
  <c r="F21" i="53"/>
  <c r="P148" i="41"/>
  <c r="G150" i="41"/>
  <c r="R150" i="41"/>
  <c r="B151" i="41"/>
  <c r="B152" i="41" s="1"/>
  <c r="F151" i="41"/>
  <c r="M151" i="41"/>
  <c r="M152" i="41" s="1"/>
  <c r="Q151" i="41"/>
  <c r="F22" i="53"/>
  <c r="E176" i="41"/>
  <c r="F23" i="53"/>
  <c r="P176" i="41"/>
  <c r="G178" i="41"/>
  <c r="R178" i="41"/>
  <c r="B179" i="41"/>
  <c r="B180" i="41" s="1"/>
  <c r="F179" i="41"/>
  <c r="M179" i="41"/>
  <c r="M180" i="41" s="1"/>
  <c r="Q179" i="41"/>
  <c r="F24" i="53"/>
  <c r="E206" i="41"/>
  <c r="F25" i="53"/>
  <c r="P206" i="41"/>
  <c r="G208" i="41"/>
  <c r="R208" i="41"/>
  <c r="B209" i="41"/>
  <c r="B210" i="41" s="1"/>
  <c r="F209" i="41"/>
  <c r="M209" i="41"/>
  <c r="M210" i="41" s="1"/>
  <c r="Q209" i="41"/>
  <c r="E234" i="41"/>
  <c r="J19" i="53"/>
  <c r="P234" i="41" s="1"/>
  <c r="A236" i="41"/>
  <c r="L294" i="41" s="1"/>
  <c r="G236" i="41"/>
  <c r="R236" i="41"/>
  <c r="F237" i="41"/>
  <c r="Q237" i="41"/>
  <c r="L242" i="41"/>
  <c r="L243" i="41" s="1"/>
  <c r="L254" i="41" s="1"/>
  <c r="A247" i="41"/>
  <c r="A248" i="41" s="1"/>
  <c r="A256" i="41" s="1"/>
  <c r="J20" i="53"/>
  <c r="E264" i="41" s="1"/>
  <c r="F264" i="41"/>
  <c r="J21" i="53"/>
  <c r="P264" i="41"/>
  <c r="Q264" i="41"/>
  <c r="G266" i="41"/>
  <c r="R266" i="41"/>
  <c r="F267" i="41"/>
  <c r="Q267" i="41"/>
  <c r="L272" i="41"/>
  <c r="L273" i="41" s="1"/>
  <c r="L284" i="41" s="1"/>
  <c r="A277" i="41"/>
  <c r="C279" i="41" s="1"/>
  <c r="J22" i="53"/>
  <c r="E292" i="41"/>
  <c r="J23" i="53"/>
  <c r="P292" i="41"/>
  <c r="G294" i="41"/>
  <c r="R294" i="41"/>
  <c r="F295" i="41"/>
  <c r="Q295" i="41"/>
  <c r="L300" i="41"/>
  <c r="N302" i="41" s="1"/>
  <c r="A305" i="41"/>
  <c r="A306" i="41" s="1"/>
  <c r="A314" i="41" s="1"/>
  <c r="J24" i="53"/>
  <c r="E322" i="41"/>
  <c r="J25" i="53"/>
  <c r="P322" i="41"/>
  <c r="G324" i="41"/>
  <c r="R324" i="41"/>
  <c r="F325" i="41"/>
  <c r="Q325" i="41"/>
  <c r="L330" i="41"/>
  <c r="L333" i="41" s="1"/>
  <c r="A335" i="41"/>
  <c r="C337" i="41" s="1"/>
  <c r="E350" i="41"/>
  <c r="F30" i="53"/>
  <c r="P350" i="41" s="1"/>
  <c r="G352" i="41"/>
  <c r="L352" i="41"/>
  <c r="R352" i="41"/>
  <c r="F353" i="41"/>
  <c r="Q353" i="41"/>
  <c r="A358" i="41"/>
  <c r="A361" i="41" s="1"/>
  <c r="L358" i="41"/>
  <c r="L359" i="41" s="1"/>
  <c r="L370" i="41" s="1"/>
  <c r="A363" i="41"/>
  <c r="A364" i="41" s="1"/>
  <c r="A372" i="41" s="1"/>
  <c r="L363" i="41"/>
  <c r="N365" i="41" s="1"/>
  <c r="F31" i="53"/>
  <c r="E380" i="41" s="1"/>
  <c r="F32" i="53"/>
  <c r="P380" i="41" s="1"/>
  <c r="A382" i="41"/>
  <c r="G382" i="41"/>
  <c r="L382" i="41"/>
  <c r="R382" i="41"/>
  <c r="F383" i="41"/>
  <c r="Q383" i="41"/>
  <c r="A388" i="41"/>
  <c r="C390" i="41" s="1"/>
  <c r="L388" i="41"/>
  <c r="L391" i="41" s="1"/>
  <c r="A393" i="41"/>
  <c r="A396" i="41" s="1"/>
  <c r="L393" i="41"/>
  <c r="N395" i="41" s="1"/>
  <c r="F34" i="53"/>
  <c r="E408" i="41" s="1"/>
  <c r="F35" i="53"/>
  <c r="P408" i="41" s="1"/>
  <c r="G410" i="41"/>
  <c r="L410" i="41"/>
  <c r="R410" i="41"/>
  <c r="F411" i="41"/>
  <c r="Q411" i="41"/>
  <c r="F36" i="53"/>
  <c r="E438" i="41"/>
  <c r="F37" i="53"/>
  <c r="P438" i="41"/>
  <c r="A440" i="41"/>
  <c r="G440" i="41"/>
  <c r="L440" i="41"/>
  <c r="R440" i="41"/>
  <c r="F441" i="41"/>
  <c r="Q441" i="41"/>
  <c r="E466" i="41"/>
  <c r="J30" i="53"/>
  <c r="P466" i="41" s="1"/>
  <c r="G468" i="41"/>
  <c r="L468" i="41"/>
  <c r="R468" i="41"/>
  <c r="T468" i="41"/>
  <c r="F469" i="41"/>
  <c r="Q469" i="41"/>
  <c r="A474" i="41"/>
  <c r="A477" i="41" s="1"/>
  <c r="L474" i="41"/>
  <c r="L475" i="41" s="1"/>
  <c r="L486" i="41" s="1"/>
  <c r="A479" i="41"/>
  <c r="C481" i="41" s="1"/>
  <c r="L479" i="41"/>
  <c r="L482" i="41" s="1"/>
  <c r="J31" i="53"/>
  <c r="J36" i="53"/>
  <c r="E554" i="41" s="1"/>
  <c r="E496" i="41"/>
  <c r="J32" i="53"/>
  <c r="J37" i="53"/>
  <c r="P554" i="41" s="1"/>
  <c r="P496" i="41"/>
  <c r="A498" i="41"/>
  <c r="G498" i="41"/>
  <c r="L498" i="41"/>
  <c r="R498" i="41"/>
  <c r="F499" i="41"/>
  <c r="Q499" i="41"/>
  <c r="A504" i="41"/>
  <c r="C506" i="41" s="1"/>
  <c r="L504" i="41"/>
  <c r="L505" i="41" s="1"/>
  <c r="L516" i="41" s="1"/>
  <c r="A509" i="41"/>
  <c r="C511" i="41" s="1"/>
  <c r="L509" i="41"/>
  <c r="L510" i="41" s="1"/>
  <c r="L518" i="41" s="1"/>
  <c r="G526" i="41"/>
  <c r="L526" i="41"/>
  <c r="R526" i="41"/>
  <c r="F527" i="41"/>
  <c r="Q527" i="41"/>
  <c r="A556" i="41"/>
  <c r="G556" i="41"/>
  <c r="L556" i="41"/>
  <c r="R556" i="41"/>
  <c r="F557" i="41"/>
  <c r="Q557" i="41"/>
  <c r="E582" i="41"/>
  <c r="P582" i="41"/>
  <c r="G584" i="41"/>
  <c r="L584" i="41"/>
  <c r="R584" i="41"/>
  <c r="B585" i="41"/>
  <c r="B586" i="41" s="1"/>
  <c r="F585" i="41"/>
  <c r="M585" i="41"/>
  <c r="M586" i="41" s="1"/>
  <c r="Q585" i="41"/>
  <c r="A590" i="41"/>
  <c r="A591" i="41" s="1"/>
  <c r="A602" i="41" s="1"/>
  <c r="L590" i="41"/>
  <c r="N592" i="41" s="1"/>
  <c r="A595" i="41"/>
  <c r="A596" i="41" s="1"/>
  <c r="A604" i="41" s="1"/>
  <c r="L595" i="41"/>
  <c r="L596" i="41" s="1"/>
  <c r="L604" i="41" s="1"/>
  <c r="G614" i="41"/>
  <c r="L614" i="41"/>
  <c r="R614" i="41"/>
  <c r="B615" i="41"/>
  <c r="B616" i="41" s="1"/>
  <c r="F615" i="41"/>
  <c r="M615" i="41"/>
  <c r="M616" i="41" s="1"/>
  <c r="Q615" i="41"/>
  <c r="L625" i="41"/>
  <c r="N627" i="41" s="1"/>
  <c r="G642" i="41"/>
  <c r="L642" i="41"/>
  <c r="R642" i="41"/>
  <c r="B643" i="41"/>
  <c r="B644" i="41" s="1"/>
  <c r="F643" i="41"/>
  <c r="M643" i="41"/>
  <c r="M644" i="41" s="1"/>
  <c r="Q643" i="41"/>
  <c r="A648" i="41"/>
  <c r="C650" i="41" s="1"/>
  <c r="L648" i="41"/>
  <c r="N650" i="41" s="1"/>
  <c r="A653" i="41"/>
  <c r="A656" i="41" s="1"/>
  <c r="L653" i="41"/>
  <c r="N655" i="41" s="1"/>
  <c r="G672" i="41"/>
  <c r="L672" i="41"/>
  <c r="R672" i="41"/>
  <c r="B673" i="41"/>
  <c r="B674" i="41" s="1"/>
  <c r="F673" i="41"/>
  <c r="M673" i="41"/>
  <c r="M674" i="41" s="1"/>
  <c r="Q673" i="41"/>
  <c r="E698" i="41"/>
  <c r="J42" i="53"/>
  <c r="P698" i="41" s="1"/>
  <c r="G700" i="41"/>
  <c r="L700" i="41"/>
  <c r="R700" i="41"/>
  <c r="F701" i="41"/>
  <c r="Q701" i="41"/>
  <c r="A706" i="41"/>
  <c r="A709" i="41" s="1"/>
  <c r="L706" i="41"/>
  <c r="N708" i="41" s="1"/>
  <c r="A711" i="41"/>
  <c r="C713" i="41" s="1"/>
  <c r="L711" i="41"/>
  <c r="N713" i="41" s="1"/>
  <c r="J44" i="53"/>
  <c r="E728" i="41" s="1"/>
  <c r="J45" i="53"/>
  <c r="P728" i="41" s="1"/>
  <c r="G730" i="41"/>
  <c r="L730" i="41"/>
  <c r="R730" i="41"/>
  <c r="F731" i="41"/>
  <c r="Q731" i="41"/>
  <c r="A736" i="41"/>
  <c r="A737" i="41" s="1"/>
  <c r="A748" i="41" s="1"/>
  <c r="A741" i="41"/>
  <c r="C743" i="41" s="1"/>
  <c r="J47" i="53"/>
  <c r="E756" i="41" s="1"/>
  <c r="J48" i="53"/>
  <c r="P756" i="41" s="1"/>
  <c r="G758" i="41"/>
  <c r="L758" i="41"/>
  <c r="R758" i="41"/>
  <c r="F759" i="41"/>
  <c r="Q759" i="41"/>
  <c r="A764" i="41"/>
  <c r="A765" i="41" s="1"/>
  <c r="A776" i="41" s="1"/>
  <c r="L764" i="41"/>
  <c r="L765" i="41" s="1"/>
  <c r="L776" i="41" s="1"/>
  <c r="A769" i="41"/>
  <c r="C771" i="41" s="1"/>
  <c r="L769" i="41"/>
  <c r="L770" i="41" s="1"/>
  <c r="L778" i="41" s="1"/>
  <c r="J50" i="53"/>
  <c r="J51" i="53"/>
  <c r="P786" i="41" s="1"/>
  <c r="G788" i="41"/>
  <c r="L788" i="41"/>
  <c r="R788" i="41"/>
  <c r="F789" i="41"/>
  <c r="Q789" i="41"/>
  <c r="E814" i="41"/>
  <c r="F817" i="41"/>
  <c r="Q817" i="41"/>
  <c r="A822" i="41"/>
  <c r="C824" i="41" s="1"/>
  <c r="L822" i="41"/>
  <c r="L823" i="41" s="1"/>
  <c r="L834" i="41" s="1"/>
  <c r="A827" i="41"/>
  <c r="C829" i="41" s="1"/>
  <c r="F847" i="41"/>
  <c r="Q847" i="41"/>
  <c r="A852" i="41"/>
  <c r="C854" i="41" s="1"/>
  <c r="L852" i="41"/>
  <c r="L853" i="41" s="1"/>
  <c r="L864" i="41" s="1"/>
  <c r="A857" i="41"/>
  <c r="A858" i="41" s="1"/>
  <c r="A866" i="41" s="1"/>
  <c r="F875" i="41"/>
  <c r="Q875" i="41"/>
  <c r="A880" i="41"/>
  <c r="A883" i="41" s="1"/>
  <c r="A885" i="41"/>
  <c r="F905" i="41"/>
  <c r="Q905" i="41"/>
  <c r="A910" i="41"/>
  <c r="A911" i="41" s="1"/>
  <c r="A922" i="41" s="1"/>
  <c r="A915" i="41"/>
  <c r="C917" i="41" s="1"/>
  <c r="E930" i="41"/>
  <c r="P930" i="41"/>
  <c r="F933" i="41"/>
  <c r="Q933" i="41"/>
  <c r="A938" i="41"/>
  <c r="C940" i="41" s="1"/>
  <c r="L938" i="41"/>
  <c r="N940" i="41" s="1"/>
  <c r="A943" i="41"/>
  <c r="C945" i="41" s="1"/>
  <c r="F963" i="41"/>
  <c r="Q963" i="41"/>
  <c r="A968" i="41"/>
  <c r="A969" i="41" s="1"/>
  <c r="A980" i="41" s="1"/>
  <c r="A973" i="41"/>
  <c r="A974" i="41" s="1"/>
  <c r="A982" i="41" s="1"/>
  <c r="L973" i="41"/>
  <c r="L974" i="41" s="1"/>
  <c r="L982" i="41" s="1"/>
  <c r="F991" i="41"/>
  <c r="Q991" i="41"/>
  <c r="A996" i="41"/>
  <c r="A999" i="41" s="1"/>
  <c r="A1001" i="41"/>
  <c r="A1002" i="41" s="1"/>
  <c r="A1010" i="41" s="1"/>
  <c r="F1021" i="41"/>
  <c r="Q1021" i="41"/>
  <c r="A1026" i="41"/>
  <c r="C1028" i="41" s="1"/>
  <c r="A1031" i="41"/>
  <c r="A1032" i="41" s="1"/>
  <c r="A1040" i="41" s="1"/>
  <c r="AM54" i="34"/>
  <c r="F8" i="40"/>
  <c r="K8" i="40"/>
  <c r="K75" i="40" s="1"/>
  <c r="P8" i="40"/>
  <c r="U8" i="40"/>
  <c r="AB8" i="40"/>
  <c r="AG8" i="40"/>
  <c r="AM75" i="40" s="1"/>
  <c r="AL8" i="40"/>
  <c r="AQ8" i="40"/>
  <c r="A7" i="16"/>
  <c r="T4" i="34" s="1"/>
  <c r="T33" i="34" s="1"/>
  <c r="A5" i="16"/>
  <c r="L11" i="40"/>
  <c r="R11" i="40"/>
  <c r="AE11" i="40"/>
  <c r="AH11" i="40"/>
  <c r="Z12" i="40"/>
  <c r="AC12" i="40"/>
  <c r="G14" i="40"/>
  <c r="L14" i="40"/>
  <c r="AJ14" i="40"/>
  <c r="AM14" i="40"/>
  <c r="Z16" i="40"/>
  <c r="AC16" i="40"/>
  <c r="L17" i="40"/>
  <c r="R17" i="40"/>
  <c r="AE17" i="40"/>
  <c r="AH17" i="40"/>
  <c r="AQ29" i="40"/>
  <c r="BC40" i="40" s="1"/>
  <c r="B19" i="40"/>
  <c r="G19" i="40"/>
  <c r="AO19" i="40"/>
  <c r="AR19" i="40"/>
  <c r="AR39" i="40"/>
  <c r="AR59" i="40"/>
  <c r="BC42" i="40" s="1"/>
  <c r="BC43" i="40" s="1"/>
  <c r="L21" i="40"/>
  <c r="R21" i="40"/>
  <c r="AE21" i="40"/>
  <c r="AH21" i="40"/>
  <c r="AM58" i="40"/>
  <c r="Z22" i="40"/>
  <c r="AC22" i="40"/>
  <c r="AX68" i="40"/>
  <c r="BC44" i="40" s="1"/>
  <c r="BC45" i="40" s="1"/>
  <c r="AS66" i="40"/>
  <c r="AS70" i="40"/>
  <c r="G24" i="40"/>
  <c r="L24" i="40"/>
  <c r="AJ24" i="40"/>
  <c r="AM24" i="40"/>
  <c r="AD68" i="40"/>
  <c r="BC46" i="40" s="1"/>
  <c r="BC47" i="40" s="1"/>
  <c r="AI70" i="40"/>
  <c r="Z26" i="40"/>
  <c r="AC26" i="40"/>
  <c r="AX83" i="40"/>
  <c r="BC48" i="40" s="1"/>
  <c r="BC49" i="40" s="1"/>
  <c r="L27" i="40"/>
  <c r="R27" i="40"/>
  <c r="AE27" i="40"/>
  <c r="AH27" i="40"/>
  <c r="AX79" i="40"/>
  <c r="AX87" i="40"/>
  <c r="AW93" i="40"/>
  <c r="BC50" i="40" s="1"/>
  <c r="BC51" i="40" s="1"/>
  <c r="B29" i="40"/>
  <c r="BC56" i="40" s="1"/>
  <c r="BC57" i="40" s="1"/>
  <c r="AD83" i="40"/>
  <c r="BC52" i="40" s="1"/>
  <c r="BC53" i="40" s="1"/>
  <c r="A31" i="40"/>
  <c r="L31" i="40"/>
  <c r="R31" i="40"/>
  <c r="AE31" i="40"/>
  <c r="AH31" i="40"/>
  <c r="AT31" i="40"/>
  <c r="AD79" i="40"/>
  <c r="AD87" i="40"/>
  <c r="Z32" i="40"/>
  <c r="AC32" i="40"/>
  <c r="AE93" i="40"/>
  <c r="BC54" i="40" s="1"/>
  <c r="BC55" i="40" s="1"/>
  <c r="G34" i="40"/>
  <c r="L34" i="40"/>
  <c r="AJ34" i="40"/>
  <c r="AM34" i="40"/>
  <c r="B39" i="40"/>
  <c r="Z36" i="40"/>
  <c r="AC36" i="40"/>
  <c r="G59" i="40"/>
  <c r="BC58" i="40" s="1"/>
  <c r="BC59" i="40" s="1"/>
  <c r="L37" i="40"/>
  <c r="R37" i="40"/>
  <c r="AE37" i="40"/>
  <c r="AH37" i="40"/>
  <c r="L58" i="40"/>
  <c r="W68" i="40"/>
  <c r="BC60" i="40" s="1"/>
  <c r="BC61" i="40" s="1"/>
  <c r="G39" i="40"/>
  <c r="AO39" i="40"/>
  <c r="R66" i="40"/>
  <c r="R70" i="40"/>
  <c r="B68" i="40"/>
  <c r="BC62" i="40" s="1"/>
  <c r="BC63" i="40" s="1"/>
  <c r="L41" i="40"/>
  <c r="R41" i="40"/>
  <c r="AE41" i="40"/>
  <c r="AH41" i="40"/>
  <c r="G66" i="40"/>
  <c r="Z42" i="40"/>
  <c r="AC42" i="40"/>
  <c r="V83" i="40"/>
  <c r="BC64" i="40" s="1"/>
  <c r="BC65" i="40" s="1"/>
  <c r="W79" i="40"/>
  <c r="W87" i="40"/>
  <c r="G44" i="40"/>
  <c r="L44" i="40"/>
  <c r="AJ44" i="40"/>
  <c r="AM44" i="40"/>
  <c r="V93" i="40"/>
  <c r="BC66" i="40" s="1"/>
  <c r="BC67" i="40" s="1"/>
  <c r="Z46" i="40"/>
  <c r="AC46" i="40"/>
  <c r="C83" i="40"/>
  <c r="BC68" i="40" s="1"/>
  <c r="BC69" i="40" s="1"/>
  <c r="L47" i="40"/>
  <c r="R47" i="40"/>
  <c r="AE47" i="40"/>
  <c r="AH47" i="40"/>
  <c r="C79" i="40"/>
  <c r="C87" i="40"/>
  <c r="C93" i="40"/>
  <c r="BC70" i="40" s="1"/>
  <c r="BC71" i="40" s="1"/>
  <c r="L59" i="40"/>
  <c r="AO59" i="40"/>
  <c r="AM64" i="40"/>
  <c r="O66" i="40"/>
  <c r="AP66" i="40"/>
  <c r="AN67" i="40"/>
  <c r="G68" i="40"/>
  <c r="T68" i="40"/>
  <c r="AI68" i="40"/>
  <c r="AU68" i="40"/>
  <c r="O70" i="40"/>
  <c r="AP70" i="40"/>
  <c r="AN71" i="40"/>
  <c r="O77" i="40"/>
  <c r="R77" i="40"/>
  <c r="AP77" i="40"/>
  <c r="AS77" i="40"/>
  <c r="G79" i="40"/>
  <c r="T79" i="40"/>
  <c r="AI79" i="40"/>
  <c r="AU79" i="40"/>
  <c r="O81" i="40"/>
  <c r="R81" i="40"/>
  <c r="AP81" i="40"/>
  <c r="AS81" i="40"/>
  <c r="C85" i="40"/>
  <c r="O85" i="40"/>
  <c r="R85" i="40"/>
  <c r="Y85" i="40"/>
  <c r="AD85" i="40"/>
  <c r="AP85" i="40"/>
  <c r="AS85" i="40"/>
  <c r="AY85" i="40"/>
  <c r="G87" i="40"/>
  <c r="T87" i="40"/>
  <c r="AI87" i="40"/>
  <c r="AU87" i="40"/>
  <c r="O89" i="40"/>
  <c r="R89" i="40"/>
  <c r="AP89" i="40"/>
  <c r="AS89" i="40"/>
  <c r="C92" i="40"/>
  <c r="Y92" i="40"/>
  <c r="AE92" i="40"/>
  <c r="AY92" i="40"/>
  <c r="Q6" i="38"/>
  <c r="AQ7" i="38"/>
  <c r="P9" i="38"/>
  <c r="AA9" i="38"/>
  <c r="F10" i="38"/>
  <c r="G10" i="38" s="1"/>
  <c r="H10" i="38" s="1"/>
  <c r="I10" i="38"/>
  <c r="G17" i="38" s="1"/>
  <c r="O10" i="38"/>
  <c r="P10" i="38"/>
  <c r="Q10" i="38"/>
  <c r="Z10" i="38"/>
  <c r="AA10" i="38"/>
  <c r="AG10" i="38"/>
  <c r="P11" i="38"/>
  <c r="AA11" i="38"/>
  <c r="P12" i="38"/>
  <c r="AA12" i="38"/>
  <c r="F4" i="53"/>
  <c r="D16" i="36" s="1"/>
  <c r="B13" i="53"/>
  <c r="E16" i="38" s="1"/>
  <c r="E17" i="38" s="1"/>
  <c r="E18" i="38" s="1"/>
  <c r="E19" i="38" s="1"/>
  <c r="E20" i="38" s="1"/>
  <c r="E21" i="38" s="1"/>
  <c r="F16" i="38"/>
  <c r="F18" i="38" s="1"/>
  <c r="AV16" i="38"/>
  <c r="AD18" i="38"/>
  <c r="BS18" i="38"/>
  <c r="CP18" i="38"/>
  <c r="CQ18" i="38"/>
  <c r="BS19" i="38"/>
  <c r="CP19" i="38"/>
  <c r="CQ19" i="38"/>
  <c r="AC20" i="38"/>
  <c r="AD20" i="38"/>
  <c r="AO20" i="38"/>
  <c r="BS20" i="38"/>
  <c r="CP20" i="38"/>
  <c r="CQ20" i="38"/>
  <c r="AC21" i="38"/>
  <c r="AD21" i="38"/>
  <c r="BS21" i="38"/>
  <c r="CP21" i="38"/>
  <c r="CQ21" i="38"/>
  <c r="AC22" i="38"/>
  <c r="AD22" i="38"/>
  <c r="BS22" i="38"/>
  <c r="BT22" i="38"/>
  <c r="BU22" i="38"/>
  <c r="BV22" i="38"/>
  <c r="BW22" i="38"/>
  <c r="BX22" i="38"/>
  <c r="BY22" i="38"/>
  <c r="BZ22" i="38"/>
  <c r="CA22" i="38"/>
  <c r="CF22" i="38"/>
  <c r="CG22" i="38"/>
  <c r="AC23" i="38"/>
  <c r="AD23" i="38"/>
  <c r="CF23" i="38"/>
  <c r="CG23" i="38"/>
  <c r="EF23" i="38"/>
  <c r="EN23" i="38"/>
  <c r="ET23" i="38"/>
  <c r="AC24" i="38"/>
  <c r="AD24" i="38"/>
  <c r="AM24" i="38"/>
  <c r="AO24" i="38"/>
  <c r="CF24" i="38"/>
  <c r="CG24" i="38"/>
  <c r="EN24" i="38"/>
  <c r="AC25" i="38"/>
  <c r="AD25" i="38"/>
  <c r="BS25" i="38"/>
  <c r="AT26" i="38"/>
  <c r="BS26" i="38"/>
  <c r="EE26" i="38"/>
  <c r="EE27" i="38"/>
  <c r="EE28" i="38"/>
  <c r="EE29" i="38"/>
  <c r="Q35" i="38"/>
  <c r="AQ36" i="38"/>
  <c r="F38" i="38"/>
  <c r="G38" i="38" s="1"/>
  <c r="H38" i="38" s="1"/>
  <c r="I38" i="38"/>
  <c r="G45" i="38" s="1"/>
  <c r="O38" i="38"/>
  <c r="P38" i="38"/>
  <c r="Q38" i="38"/>
  <c r="Z38" i="38"/>
  <c r="AA38" i="38"/>
  <c r="F39" i="38"/>
  <c r="G39" i="38" s="1"/>
  <c r="H39" i="38" s="1"/>
  <c r="I39" i="38"/>
  <c r="G48" i="38" s="1"/>
  <c r="P39" i="38"/>
  <c r="Z39" i="38"/>
  <c r="AA39" i="38"/>
  <c r="AG39" i="38"/>
  <c r="P40" i="38"/>
  <c r="Q40" i="38"/>
  <c r="AA40" i="38"/>
  <c r="P41" i="38"/>
  <c r="AA41" i="38"/>
  <c r="B14" i="53"/>
  <c r="E45" i="38"/>
  <c r="E46" i="38" s="1"/>
  <c r="E47" i="38" s="1"/>
  <c r="E48" i="38" s="1"/>
  <c r="E49" i="38" s="1"/>
  <c r="E50" i="38" s="1"/>
  <c r="F45" i="38"/>
  <c r="F48" i="38" s="1"/>
  <c r="AV45" i="38"/>
  <c r="AD47" i="38"/>
  <c r="BS47" i="38"/>
  <c r="CP47" i="38"/>
  <c r="CQ47" i="38"/>
  <c r="BS48" i="38"/>
  <c r="CP48" i="38"/>
  <c r="CQ48" i="38"/>
  <c r="AC49" i="38"/>
  <c r="AD49" i="38"/>
  <c r="AM49" i="38"/>
  <c r="AO49" i="38"/>
  <c r="BS49" i="38"/>
  <c r="CP49" i="38"/>
  <c r="CQ49" i="38"/>
  <c r="AC50" i="38"/>
  <c r="AD50" i="38"/>
  <c r="AO50" i="38"/>
  <c r="BS50" i="38"/>
  <c r="CP50" i="38"/>
  <c r="CQ50" i="38"/>
  <c r="AC51" i="38"/>
  <c r="AD51" i="38"/>
  <c r="AM51" i="38"/>
  <c r="AO51" i="38"/>
  <c r="BS51" i="38"/>
  <c r="BT51" i="38"/>
  <c r="BU51" i="38"/>
  <c r="BV51" i="38"/>
  <c r="BW51" i="38"/>
  <c r="BX51" i="38"/>
  <c r="BY51" i="38"/>
  <c r="BZ51" i="38"/>
  <c r="CA51" i="38"/>
  <c r="CF51" i="38"/>
  <c r="CG51" i="38"/>
  <c r="AC52" i="38"/>
  <c r="AD52" i="38"/>
  <c r="AO52" i="38"/>
  <c r="CF52" i="38"/>
  <c r="CG52" i="38"/>
  <c r="EF52" i="38"/>
  <c r="EN52" i="38"/>
  <c r="ET52" i="38"/>
  <c r="AC53" i="38"/>
  <c r="AD53" i="38"/>
  <c r="CF53" i="38"/>
  <c r="CG53" i="38"/>
  <c r="EN53" i="38"/>
  <c r="AC54" i="38"/>
  <c r="AD54" i="38"/>
  <c r="BS54" i="38"/>
  <c r="AT55" i="38"/>
  <c r="BS55" i="38"/>
  <c r="EE55" i="38"/>
  <c r="EE56" i="38"/>
  <c r="EE57" i="38"/>
  <c r="Q6" i="36"/>
  <c r="AQ7" i="36"/>
  <c r="P9" i="36"/>
  <c r="AA9" i="36"/>
  <c r="O10" i="36"/>
  <c r="P10" i="36"/>
  <c r="AA10" i="36"/>
  <c r="AG11" i="36"/>
  <c r="O11" i="36"/>
  <c r="P11" i="36"/>
  <c r="AA11" i="36"/>
  <c r="I12" i="36"/>
  <c r="M19" i="36" s="1"/>
  <c r="P12" i="36"/>
  <c r="Q12" i="36"/>
  <c r="AA12" i="36"/>
  <c r="B11" i="53"/>
  <c r="E16" i="36"/>
  <c r="E17" i="36" s="1"/>
  <c r="E18" i="36" s="1"/>
  <c r="E19" i="36" s="1"/>
  <c r="E20" i="36" s="1"/>
  <c r="E21" i="36" s="1"/>
  <c r="F16" i="36"/>
  <c r="F18" i="36" s="1"/>
  <c r="AV16" i="36"/>
  <c r="AD18" i="36"/>
  <c r="BS18" i="36"/>
  <c r="CP18" i="36"/>
  <c r="CQ18" i="36"/>
  <c r="BS19" i="36"/>
  <c r="CP19" i="36"/>
  <c r="CQ19" i="36"/>
  <c r="AC20" i="36"/>
  <c r="AD20" i="36"/>
  <c r="AM20" i="36"/>
  <c r="AO20" i="36"/>
  <c r="BS20" i="36"/>
  <c r="CP20" i="36"/>
  <c r="CQ20" i="36"/>
  <c r="AC21" i="36"/>
  <c r="AD21" i="36"/>
  <c r="BS21" i="36"/>
  <c r="CP21" i="36"/>
  <c r="CQ21" i="36"/>
  <c r="AC22" i="36"/>
  <c r="AD22" i="36"/>
  <c r="AM22" i="36"/>
  <c r="AO22" i="36"/>
  <c r="BS22" i="36"/>
  <c r="BT22" i="36"/>
  <c r="BU22" i="36"/>
  <c r="BV22" i="36"/>
  <c r="BW22" i="36"/>
  <c r="BX22" i="36"/>
  <c r="BY22" i="36"/>
  <c r="BZ22" i="36"/>
  <c r="CA22" i="36"/>
  <c r="CF22" i="36"/>
  <c r="CG22" i="36"/>
  <c r="AC23" i="36"/>
  <c r="AD23" i="36"/>
  <c r="AO23" i="36"/>
  <c r="CF23" i="36"/>
  <c r="CG23" i="36"/>
  <c r="EF23" i="36"/>
  <c r="EN23" i="36"/>
  <c r="ET23" i="36"/>
  <c r="AC24" i="36"/>
  <c r="AD24" i="36"/>
  <c r="AM24" i="36"/>
  <c r="AO24" i="36"/>
  <c r="CF24" i="36"/>
  <c r="CG24" i="36"/>
  <c r="EN24" i="36"/>
  <c r="AC25" i="36"/>
  <c r="AD25" i="36"/>
  <c r="AM25" i="36"/>
  <c r="AO25" i="36"/>
  <c r="BS25" i="36"/>
  <c r="AT26" i="36"/>
  <c r="BS26" i="36"/>
  <c r="EE26" i="36"/>
  <c r="EE27" i="36"/>
  <c r="EE28" i="36"/>
  <c r="EE29" i="36"/>
  <c r="Q35" i="36"/>
  <c r="AQ36" i="36"/>
  <c r="P38" i="36"/>
  <c r="AA38" i="36"/>
  <c r="F39" i="36"/>
  <c r="G39" i="36" s="1"/>
  <c r="H39" i="36" s="1"/>
  <c r="P39" i="36"/>
  <c r="AA39" i="36"/>
  <c r="P40" i="36"/>
  <c r="Q40" i="36"/>
  <c r="AA40" i="36"/>
  <c r="P41" i="36"/>
  <c r="AA41" i="36"/>
  <c r="B12" i="53"/>
  <c r="E45" i="36" s="1"/>
  <c r="E46" i="36" s="1"/>
  <c r="E47" i="36" s="1"/>
  <c r="E48" i="36" s="1"/>
  <c r="E49" i="36" s="1"/>
  <c r="E50" i="36" s="1"/>
  <c r="F45" i="36"/>
  <c r="F49" i="36" s="1"/>
  <c r="AV45" i="36"/>
  <c r="AD47" i="36"/>
  <c r="BS47" i="36"/>
  <c r="CP47" i="36"/>
  <c r="CQ47" i="36"/>
  <c r="BS48" i="36"/>
  <c r="CP48" i="36"/>
  <c r="CQ48" i="36"/>
  <c r="AC49" i="36"/>
  <c r="AD49" i="36"/>
  <c r="BS49" i="36"/>
  <c r="CP49" i="36"/>
  <c r="CQ49" i="36"/>
  <c r="AC50" i="36"/>
  <c r="AD50" i="36"/>
  <c r="BS50" i="36"/>
  <c r="CP50" i="36"/>
  <c r="CQ50" i="36"/>
  <c r="AC51" i="36"/>
  <c r="AD51" i="36"/>
  <c r="BS51" i="36"/>
  <c r="BT51" i="36"/>
  <c r="BU51" i="36"/>
  <c r="BV51" i="36"/>
  <c r="BW51" i="36"/>
  <c r="BX51" i="36"/>
  <c r="BY51" i="36"/>
  <c r="BZ51" i="36"/>
  <c r="CA51" i="36"/>
  <c r="CF51" i="36"/>
  <c r="CG51" i="36"/>
  <c r="AC52" i="36"/>
  <c r="AD52" i="36"/>
  <c r="CF52" i="36"/>
  <c r="CG52" i="36"/>
  <c r="EF52" i="36"/>
  <c r="EN52" i="36"/>
  <c r="ET52" i="36"/>
  <c r="AC53" i="36"/>
  <c r="AD53" i="36"/>
  <c r="AO53" i="36"/>
  <c r="CF53" i="36"/>
  <c r="CG53" i="36"/>
  <c r="EN53" i="36"/>
  <c r="AC54" i="36"/>
  <c r="AD54" i="36"/>
  <c r="BS54" i="36"/>
  <c r="AT55" i="36"/>
  <c r="BS55" i="36"/>
  <c r="EE55" i="36"/>
  <c r="EE56" i="36"/>
  <c r="EE57" i="36"/>
  <c r="Q6" i="34"/>
  <c r="AQ7" i="34"/>
  <c r="P9" i="34"/>
  <c r="AA9" i="34"/>
  <c r="I10" i="34"/>
  <c r="G19" i="34" s="1"/>
  <c r="P10" i="34"/>
  <c r="Z10" i="34"/>
  <c r="AA10" i="34"/>
  <c r="P11" i="34"/>
  <c r="AA11" i="34"/>
  <c r="P12" i="34"/>
  <c r="AA12" i="34"/>
  <c r="B9" i="53"/>
  <c r="E16" i="34" s="1"/>
  <c r="E17" i="34" s="1"/>
  <c r="E18" i="34" s="1"/>
  <c r="E19" i="34" s="1"/>
  <c r="E20" i="34" s="1"/>
  <c r="E21" i="34" s="1"/>
  <c r="F16" i="34"/>
  <c r="F20" i="34"/>
  <c r="AV16" i="34"/>
  <c r="F18" i="34"/>
  <c r="AD18" i="34"/>
  <c r="BS18" i="34"/>
  <c r="CP18" i="34"/>
  <c r="CQ18" i="34"/>
  <c r="BS19" i="34"/>
  <c r="CP19" i="34"/>
  <c r="CQ19" i="34"/>
  <c r="AC20" i="34"/>
  <c r="AD20" i="34"/>
  <c r="AO20" i="34"/>
  <c r="BS20" i="34"/>
  <c r="CP20" i="34"/>
  <c r="CQ20" i="34"/>
  <c r="AC21" i="34"/>
  <c r="AD21" i="34"/>
  <c r="BS21" i="34"/>
  <c r="CP21" i="34"/>
  <c r="CQ21" i="34"/>
  <c r="AC22" i="34"/>
  <c r="AD22" i="34"/>
  <c r="BS22" i="34"/>
  <c r="BT22" i="34"/>
  <c r="BU22" i="34"/>
  <c r="BV22" i="34"/>
  <c r="BW22" i="34"/>
  <c r="BX22" i="34"/>
  <c r="BY22" i="34"/>
  <c r="BZ22" i="34"/>
  <c r="CA22" i="34"/>
  <c r="CF22" i="34"/>
  <c r="CG22" i="34"/>
  <c r="AC23" i="34"/>
  <c r="AD23" i="34"/>
  <c r="CF23" i="34"/>
  <c r="CG23" i="34"/>
  <c r="EF23" i="34"/>
  <c r="EN23" i="34"/>
  <c r="ET23" i="34"/>
  <c r="AC24" i="34"/>
  <c r="AD24" i="34"/>
  <c r="CF24" i="34"/>
  <c r="CG24" i="34"/>
  <c r="EN24" i="34"/>
  <c r="AC25" i="34"/>
  <c r="AD25" i="34"/>
  <c r="AO25" i="34"/>
  <c r="BS25" i="34"/>
  <c r="AT26" i="34"/>
  <c r="BS26" i="34"/>
  <c r="EE26" i="34"/>
  <c r="EE27" i="34"/>
  <c r="EE28" i="34"/>
  <c r="EE29" i="34"/>
  <c r="Q35" i="34"/>
  <c r="AQ36" i="34"/>
  <c r="P38" i="34"/>
  <c r="AA38" i="34"/>
  <c r="F39" i="34"/>
  <c r="G39" i="34" s="1"/>
  <c r="H39" i="34" s="1"/>
  <c r="I39" i="34"/>
  <c r="M49" i="34" s="1"/>
  <c r="O39" i="34"/>
  <c r="P39" i="34"/>
  <c r="Q39" i="34"/>
  <c r="Z39" i="34"/>
  <c r="AA39" i="34"/>
  <c r="AG39" i="34"/>
  <c r="I40" i="34"/>
  <c r="G50" i="34" s="1"/>
  <c r="P40" i="34"/>
  <c r="Z40" i="34"/>
  <c r="AA40" i="34"/>
  <c r="AG40" i="34"/>
  <c r="AM51" i="34"/>
  <c r="P41" i="34"/>
  <c r="AA41" i="34"/>
  <c r="B10" i="53"/>
  <c r="E45" i="34" s="1"/>
  <c r="E46" i="34" s="1"/>
  <c r="E47" i="34" s="1"/>
  <c r="E48" i="34" s="1"/>
  <c r="E49" i="34" s="1"/>
  <c r="E50" i="34" s="1"/>
  <c r="F45" i="34"/>
  <c r="F46" i="34"/>
  <c r="AV45" i="34"/>
  <c r="AD47" i="34"/>
  <c r="BS47" i="34"/>
  <c r="CP47" i="34"/>
  <c r="CQ47" i="34"/>
  <c r="F48" i="34"/>
  <c r="BS48" i="34"/>
  <c r="AM50" i="34"/>
  <c r="CP48" i="34"/>
  <c r="CQ48" i="34"/>
  <c r="F49" i="34"/>
  <c r="AC49" i="34"/>
  <c r="AD49" i="34"/>
  <c r="AO49" i="34"/>
  <c r="BS49" i="34"/>
  <c r="CP49" i="34"/>
  <c r="CQ49" i="34"/>
  <c r="F50" i="34"/>
  <c r="AC50" i="34"/>
  <c r="AD50" i="34"/>
  <c r="AO50" i="34"/>
  <c r="BS50" i="34"/>
  <c r="CP50" i="34"/>
  <c r="CQ50" i="34"/>
  <c r="AC51" i="34"/>
  <c r="AD51" i="34"/>
  <c r="AO51" i="34"/>
  <c r="BS51" i="34"/>
  <c r="BT51" i="34"/>
  <c r="BU51" i="34"/>
  <c r="BV51" i="34"/>
  <c r="BW51" i="34"/>
  <c r="BX51" i="34"/>
  <c r="BY51" i="34"/>
  <c r="BZ51" i="34"/>
  <c r="CA51" i="34"/>
  <c r="CF51" i="34"/>
  <c r="CG51" i="34"/>
  <c r="AC52" i="34"/>
  <c r="AD52" i="34"/>
  <c r="AM52" i="34"/>
  <c r="AO52" i="34"/>
  <c r="CF52" i="34"/>
  <c r="CG52" i="34"/>
  <c r="EF52" i="34"/>
  <c r="EN52" i="34"/>
  <c r="ET52" i="34"/>
  <c r="AC53" i="34"/>
  <c r="AD53" i="34"/>
  <c r="CF53" i="34"/>
  <c r="CG53" i="34"/>
  <c r="EN53" i="34"/>
  <c r="AC54" i="34"/>
  <c r="AD54" i="34"/>
  <c r="AO54" i="34"/>
  <c r="BS54" i="34"/>
  <c r="AT55" i="34"/>
  <c r="BS55" i="34"/>
  <c r="EE55" i="34"/>
  <c r="EE56" i="34"/>
  <c r="EE57" i="34"/>
  <c r="Q6" i="13"/>
  <c r="AQ7" i="13"/>
  <c r="P9" i="13"/>
  <c r="AA9" i="13"/>
  <c r="P10" i="13"/>
  <c r="AA10" i="13"/>
  <c r="P11" i="13"/>
  <c r="AA11" i="13"/>
  <c r="P12" i="13"/>
  <c r="AA12" i="13"/>
  <c r="E16" i="13"/>
  <c r="E17" i="13" s="1"/>
  <c r="E18" i="13" s="1"/>
  <c r="E19" i="13" s="1"/>
  <c r="E20" i="13" s="1"/>
  <c r="E21" i="13" s="1"/>
  <c r="F16" i="13"/>
  <c r="F21" i="13" s="1"/>
  <c r="AV16" i="13"/>
  <c r="AD18" i="13"/>
  <c r="BS18" i="13"/>
  <c r="CP18" i="13"/>
  <c r="CQ18" i="13"/>
  <c r="BS19" i="13"/>
  <c r="CP19" i="13"/>
  <c r="CQ19" i="13"/>
  <c r="AC20" i="13"/>
  <c r="AD20" i="13"/>
  <c r="AM20" i="13"/>
  <c r="AO20" i="13"/>
  <c r="BS20" i="13"/>
  <c r="CP20" i="13"/>
  <c r="CQ20" i="13"/>
  <c r="AC21" i="13"/>
  <c r="AD21" i="13"/>
  <c r="BS21" i="13"/>
  <c r="CP21" i="13"/>
  <c r="CQ21" i="13"/>
  <c r="AC22" i="13"/>
  <c r="AD22" i="13"/>
  <c r="AM22" i="13"/>
  <c r="AO22" i="13"/>
  <c r="BS22" i="13"/>
  <c r="BT22" i="13"/>
  <c r="BU22" i="13"/>
  <c r="BV22" i="13"/>
  <c r="BW22" i="13"/>
  <c r="BX22" i="13"/>
  <c r="BY22" i="13"/>
  <c r="BZ22" i="13"/>
  <c r="CA22" i="13"/>
  <c r="CF22" i="13"/>
  <c r="CG22" i="13"/>
  <c r="AC23" i="13"/>
  <c r="AD23" i="13"/>
  <c r="CF23" i="13"/>
  <c r="CG23" i="13"/>
  <c r="EF23" i="13"/>
  <c r="EN23" i="13"/>
  <c r="ET23" i="13"/>
  <c r="AC24" i="13"/>
  <c r="AD24" i="13"/>
  <c r="AM24" i="13"/>
  <c r="AO24" i="13"/>
  <c r="CF24" i="13"/>
  <c r="CG24" i="13"/>
  <c r="EN24" i="13"/>
  <c r="AC25" i="13"/>
  <c r="AD25" i="13"/>
  <c r="AM25" i="13"/>
  <c r="AO25" i="13"/>
  <c r="BS25" i="13"/>
  <c r="AT26" i="13"/>
  <c r="BS26" i="13"/>
  <c r="EE26" i="13"/>
  <c r="EE27" i="13"/>
  <c r="EE28" i="13"/>
  <c r="EE29" i="13"/>
  <c r="Q35" i="13"/>
  <c r="AQ36" i="13"/>
  <c r="P38" i="13"/>
  <c r="AA38" i="13"/>
  <c r="P39" i="13"/>
  <c r="AA39" i="13"/>
  <c r="AG39" i="13"/>
  <c r="P40" i="13"/>
  <c r="AA40" i="13"/>
  <c r="P41" i="13"/>
  <c r="AA41" i="13"/>
  <c r="B8" i="53"/>
  <c r="E45" i="13"/>
  <c r="E46" i="13" s="1"/>
  <c r="E47" i="13" s="1"/>
  <c r="E48" i="13" s="1"/>
  <c r="E49" i="13" s="1"/>
  <c r="E50" i="13" s="1"/>
  <c r="F45" i="13"/>
  <c r="AV45" i="13"/>
  <c r="AD47" i="13"/>
  <c r="BS47" i="13"/>
  <c r="CP47" i="13"/>
  <c r="CQ47" i="13"/>
  <c r="BS48" i="13"/>
  <c r="CP48" i="13"/>
  <c r="CQ48" i="13"/>
  <c r="AC49" i="13"/>
  <c r="AD49" i="13"/>
  <c r="AO49" i="13"/>
  <c r="BS49" i="13"/>
  <c r="CP49" i="13"/>
  <c r="CQ49" i="13"/>
  <c r="AC50" i="13"/>
  <c r="AD50" i="13"/>
  <c r="BS50" i="13"/>
  <c r="CP50" i="13"/>
  <c r="CQ50" i="13"/>
  <c r="AC51" i="13"/>
  <c r="AD51" i="13"/>
  <c r="AO51" i="13"/>
  <c r="BS51" i="13"/>
  <c r="BT51" i="13"/>
  <c r="BU51" i="13"/>
  <c r="BV51" i="13"/>
  <c r="BW51" i="13"/>
  <c r="BX51" i="13"/>
  <c r="BY51" i="13"/>
  <c r="BZ51" i="13"/>
  <c r="CA51" i="13"/>
  <c r="CF51" i="13"/>
  <c r="CG51" i="13"/>
  <c r="AC52" i="13"/>
  <c r="AD52" i="13"/>
  <c r="AM52" i="13"/>
  <c r="AO52" i="13"/>
  <c r="CF52" i="13"/>
  <c r="CG52" i="13"/>
  <c r="EF52" i="13"/>
  <c r="EN52" i="13"/>
  <c r="ET52" i="13"/>
  <c r="AC53" i="13"/>
  <c r="AD53" i="13"/>
  <c r="CF53" i="13"/>
  <c r="CG53" i="13"/>
  <c r="EN53" i="13"/>
  <c r="AC54" i="13"/>
  <c r="AD54" i="13"/>
  <c r="AM54" i="13"/>
  <c r="AO54" i="13"/>
  <c r="BS54" i="13"/>
  <c r="AT55" i="13"/>
  <c r="BS55" i="13"/>
  <c r="EE55" i="13"/>
  <c r="EE56" i="13"/>
  <c r="EE57" i="13"/>
  <c r="BE51" i="13"/>
  <c r="F21" i="38"/>
  <c r="J19" i="50"/>
  <c r="H18" i="50"/>
  <c r="J17" i="50"/>
  <c r="H16" i="50"/>
  <c r="J15" i="50"/>
  <c r="J13" i="50"/>
  <c r="G6" i="50"/>
  <c r="F6" i="50"/>
  <c r="H24" i="50"/>
  <c r="G85" i="40"/>
  <c r="A678" i="41"/>
  <c r="A679" i="41" s="1"/>
  <c r="A690" i="41" s="1"/>
  <c r="G89" i="40"/>
  <c r="AA51" i="36"/>
  <c r="Z51" i="36"/>
  <c r="X51" i="36"/>
  <c r="Y51" i="36"/>
  <c r="Y22" i="38"/>
  <c r="Z22" i="38"/>
  <c r="X22" i="38"/>
  <c r="AA22" i="38"/>
  <c r="Y51" i="38"/>
  <c r="AA51" i="38"/>
  <c r="Z51" i="38"/>
  <c r="X51" i="38"/>
  <c r="Y22" i="34"/>
  <c r="Z22" i="34"/>
  <c r="C95" i="40"/>
  <c r="A683" i="41"/>
  <c r="Y22" i="36"/>
  <c r="X22" i="36"/>
  <c r="Z22" i="36"/>
  <c r="AA22" i="36"/>
  <c r="Y51" i="34"/>
  <c r="AA51" i="34"/>
  <c r="U37" i="40"/>
  <c r="L73" i="41" s="1"/>
  <c r="L74" i="41" s="1"/>
  <c r="L82" i="41" s="1"/>
  <c r="U27" i="40"/>
  <c r="AB10" i="40"/>
  <c r="M93" i="41" s="1"/>
  <c r="M94" i="41" s="1"/>
  <c r="AB48" i="40"/>
  <c r="B353" i="41" s="1"/>
  <c r="B354" i="41" s="1"/>
  <c r="U31" i="40"/>
  <c r="U13" i="40"/>
  <c r="V13" i="40" s="1"/>
  <c r="U21" i="40"/>
  <c r="V21" i="40" s="1"/>
  <c r="AB40" i="40"/>
  <c r="M817" i="41" s="1"/>
  <c r="M818" i="41" s="1"/>
  <c r="AB30" i="40"/>
  <c r="A300" i="41" s="1"/>
  <c r="A303" i="41" s="1"/>
  <c r="U45" i="40"/>
  <c r="V45" i="40" s="1"/>
  <c r="AB28" i="40"/>
  <c r="AC28" i="40" s="1"/>
  <c r="U23" i="40"/>
  <c r="P10" i="40"/>
  <c r="M789" i="41" s="1"/>
  <c r="M790" i="41" s="1"/>
  <c r="L76" i="40"/>
  <c r="M76" i="40" s="1"/>
  <c r="P28" i="40"/>
  <c r="B759" i="41" s="1"/>
  <c r="B760" i="41" s="1"/>
  <c r="AB18" i="40"/>
  <c r="L247" i="41" s="1"/>
  <c r="L250" i="41" s="1"/>
  <c r="U43" i="40"/>
  <c r="A103" i="41" s="1"/>
  <c r="P40" i="40"/>
  <c r="A214" i="41" s="1"/>
  <c r="A217" i="41" s="1"/>
  <c r="L88" i="40"/>
  <c r="L446" i="41" s="1"/>
  <c r="U35" i="40"/>
  <c r="V35" i="40" s="1"/>
  <c r="AB20" i="40"/>
  <c r="AC20" i="40" s="1"/>
  <c r="U17" i="40"/>
  <c r="V17" i="40" s="1"/>
  <c r="P30" i="40"/>
  <c r="L84" i="40"/>
  <c r="M84" i="40" s="1"/>
  <c r="U11" i="40"/>
  <c r="U47" i="40"/>
  <c r="L103" i="41" s="1"/>
  <c r="U41" i="40"/>
  <c r="A98" i="41" s="1"/>
  <c r="C100" i="41" s="1"/>
  <c r="U25" i="40"/>
  <c r="L40" i="41" s="1"/>
  <c r="U15" i="40"/>
  <c r="P18" i="40"/>
  <c r="Q18" i="40" s="1"/>
  <c r="P48" i="40"/>
  <c r="B701" i="41" s="1"/>
  <c r="B702" i="41" s="1"/>
  <c r="L90" i="40"/>
  <c r="M90" i="40" s="1"/>
  <c r="AB38" i="40"/>
  <c r="P20" i="40"/>
  <c r="M295" i="41" s="1"/>
  <c r="M296" i="41" s="1"/>
  <c r="L80" i="40"/>
  <c r="U33" i="40"/>
  <c r="A73" i="41" s="1"/>
  <c r="P38" i="40"/>
  <c r="B267" i="41" s="1"/>
  <c r="B268" i="41" s="1"/>
  <c r="L86" i="40"/>
  <c r="M86" i="40" s="1"/>
  <c r="Q39" i="38"/>
  <c r="Q67" i="54"/>
  <c r="Q40" i="34"/>
  <c r="O40" i="34"/>
  <c r="AH89" i="40"/>
  <c r="L799" i="41" s="1"/>
  <c r="AH81" i="40"/>
  <c r="AI81" i="40" s="1"/>
  <c r="C29" i="50"/>
  <c r="E29" i="50" s="1"/>
  <c r="AH85" i="40"/>
  <c r="L794" i="41" s="1"/>
  <c r="C13" i="50"/>
  <c r="AI66" i="40"/>
  <c r="N332" i="41"/>
  <c r="L82" i="40"/>
  <c r="L421" i="41" s="1"/>
  <c r="N423" i="41" s="1"/>
  <c r="L78" i="40"/>
  <c r="J16" i="50"/>
  <c r="J8" i="50"/>
  <c r="A57" i="40"/>
  <c r="D16" i="38"/>
  <c r="D45" i="13"/>
  <c r="B119" i="41"/>
  <c r="AD91" i="40"/>
  <c r="AE91" i="40" s="1"/>
  <c r="AD95" i="40"/>
  <c r="AE95" i="40" s="1"/>
  <c r="C21" i="50"/>
  <c r="J57" i="53"/>
  <c r="E960" i="41" s="1"/>
  <c r="E844" i="41"/>
  <c r="F58" i="53"/>
  <c r="F64" i="40" s="1"/>
  <c r="Q64" i="40"/>
  <c r="P814" i="41"/>
  <c r="AR75" i="40"/>
  <c r="K64" i="40"/>
  <c r="E612" i="41"/>
  <c r="F45" i="53"/>
  <c r="F47" i="53" s="1"/>
  <c r="J35" i="53"/>
  <c r="P524" i="41"/>
  <c r="A1027" i="41"/>
  <c r="A1038" i="41" s="1"/>
  <c r="A1029" i="41"/>
  <c r="A649" i="41"/>
  <c r="A660" i="41" s="1"/>
  <c r="F34" i="50"/>
  <c r="L910" i="41"/>
  <c r="L913" i="41" s="1"/>
  <c r="N360" i="41"/>
  <c r="M65" i="40"/>
  <c r="A391" i="41"/>
  <c r="A389" i="41"/>
  <c r="A400" i="41" s="1"/>
  <c r="L361" i="41"/>
  <c r="L825" i="41"/>
  <c r="A250" i="41"/>
  <c r="L943" i="41"/>
  <c r="L946" i="41" s="1"/>
  <c r="A941" i="41"/>
  <c r="I40" i="36"/>
  <c r="M46" i="36" s="1"/>
  <c r="O40" i="36"/>
  <c r="C52" i="54"/>
  <c r="F52" i="54" s="1"/>
  <c r="Z40" i="36"/>
  <c r="AG40" i="36"/>
  <c r="Q39" i="36"/>
  <c r="Z39" i="36"/>
  <c r="I39" i="36"/>
  <c r="G48" i="36" s="1"/>
  <c r="C51" i="54"/>
  <c r="I51" i="54" s="1"/>
  <c r="O39" i="36"/>
  <c r="F11" i="36"/>
  <c r="G11" i="36" s="1"/>
  <c r="H11" i="36" s="1"/>
  <c r="C44" i="54"/>
  <c r="I44" i="54" s="1"/>
  <c r="Q11" i="36"/>
  <c r="Z11" i="36"/>
  <c r="O10" i="34"/>
  <c r="AG10" i="34"/>
  <c r="F10" i="34"/>
  <c r="G10" i="34" s="1"/>
  <c r="H10" i="34" s="1"/>
  <c r="Z10" i="13"/>
  <c r="F48" i="36"/>
  <c r="F46" i="36"/>
  <c r="F47" i="36"/>
  <c r="F21" i="34"/>
  <c r="F19" i="34"/>
  <c r="F17" i="34"/>
  <c r="D18" i="36"/>
  <c r="D20" i="36"/>
  <c r="D16" i="34"/>
  <c r="D18" i="34" s="1"/>
  <c r="D16" i="13"/>
  <c r="D45" i="38"/>
  <c r="D49" i="38" s="1"/>
  <c r="D45" i="36"/>
  <c r="D47" i="36" s="1"/>
  <c r="D45" i="34"/>
  <c r="D47" i="34" s="1"/>
  <c r="A96" i="40"/>
  <c r="B699" i="41"/>
  <c r="J58" i="53"/>
  <c r="P960" i="41" s="1"/>
  <c r="P844" i="41"/>
  <c r="F59" i="53"/>
  <c r="P612" i="41"/>
  <c r="AH64" i="40"/>
  <c r="E872" i="41"/>
  <c r="E640" i="41"/>
  <c r="BI51" i="34"/>
  <c r="AR51" i="34" s="1"/>
  <c r="X51" i="34"/>
  <c r="BD22" i="34"/>
  <c r="BC21" i="34"/>
  <c r="X22" i="34"/>
  <c r="X51" i="13"/>
  <c r="BE50" i="13"/>
  <c r="BC50" i="13"/>
  <c r="BE49" i="13"/>
  <c r="AA51" i="13"/>
  <c r="BE20" i="13"/>
  <c r="Z51" i="13"/>
  <c r="BC53" i="13"/>
  <c r="Y51" i="13"/>
  <c r="BD50" i="13"/>
  <c r="BD49" i="13"/>
  <c r="BC24" i="13"/>
  <c r="BC22" i="13"/>
  <c r="BD21" i="13"/>
  <c r="BC20" i="13"/>
  <c r="BE25" i="13"/>
  <c r="AA22" i="13"/>
  <c r="Y22" i="13"/>
  <c r="Z22" i="13"/>
  <c r="X22" i="13"/>
  <c r="I27" i="54"/>
  <c r="F17" i="38"/>
  <c r="F20" i="38"/>
  <c r="F19" i="38"/>
  <c r="F47" i="34"/>
  <c r="L651" i="41"/>
  <c r="L120" i="41"/>
  <c r="J20" i="50"/>
  <c r="J14" i="50"/>
  <c r="E34" i="50" l="1"/>
  <c r="AG38" i="38"/>
  <c r="E22" i="50"/>
  <c r="D27" i="50"/>
  <c r="O9" i="38"/>
  <c r="AG9" i="38"/>
  <c r="D35" i="50"/>
  <c r="F9" i="38"/>
  <c r="G9" i="38" s="1"/>
  <c r="H9" i="38" s="1"/>
  <c r="L512" i="41"/>
  <c r="L744" i="41"/>
  <c r="F16" i="50"/>
  <c r="E10" i="50"/>
  <c r="Z10" i="36"/>
  <c r="I10" i="36"/>
  <c r="M20" i="36" s="1"/>
  <c r="C58" i="54"/>
  <c r="Z58" i="54" s="1"/>
  <c r="O38" i="13"/>
  <c r="Q38" i="34"/>
  <c r="F18" i="50"/>
  <c r="F10" i="50"/>
  <c r="G10" i="50"/>
  <c r="E16" i="50"/>
  <c r="E18" i="50"/>
  <c r="Q10" i="36"/>
  <c r="F10" i="36"/>
  <c r="G10" i="36" s="1"/>
  <c r="H10" i="36" s="1"/>
  <c r="I9" i="38"/>
  <c r="G20" i="38" s="1"/>
  <c r="Q9" i="38"/>
  <c r="D6" i="50"/>
  <c r="E6" i="50"/>
  <c r="H10" i="50"/>
  <c r="G16" i="50"/>
  <c r="G18" i="50"/>
  <c r="P26" i="13"/>
  <c r="P55" i="13" s="1"/>
  <c r="M18" i="36"/>
  <c r="P26" i="34"/>
  <c r="P55" i="34" s="1"/>
  <c r="G21" i="36"/>
  <c r="Z36" i="54"/>
  <c r="Q36" i="54"/>
  <c r="H20" i="50"/>
  <c r="B32" i="50"/>
  <c r="L598" i="41"/>
  <c r="C12" i="54"/>
  <c r="Z12" i="54" s="1"/>
  <c r="W91" i="40"/>
  <c r="B18" i="50"/>
  <c r="A916" i="41"/>
  <c r="A924" i="41" s="1"/>
  <c r="AG40" i="13"/>
  <c r="O11" i="13"/>
  <c r="I36" i="54"/>
  <c r="A1004" i="41"/>
  <c r="Q11" i="34"/>
  <c r="O36" i="54"/>
  <c r="G11" i="50"/>
  <c r="F11" i="34"/>
  <c r="G11" i="34" s="1"/>
  <c r="H11" i="34" s="1"/>
  <c r="M17" i="34"/>
  <c r="G21" i="34"/>
  <c r="Z11" i="13"/>
  <c r="AG11" i="34"/>
  <c r="C20" i="54"/>
  <c r="Q20" i="54" s="1"/>
  <c r="O40" i="13"/>
  <c r="Z40" i="13"/>
  <c r="I40" i="13"/>
  <c r="G50" i="13" s="1"/>
  <c r="Q11" i="13"/>
  <c r="F11" i="13"/>
  <c r="G11" i="13" s="1"/>
  <c r="H11" i="13" s="1"/>
  <c r="O11" i="34"/>
  <c r="C28" i="54"/>
  <c r="C53" i="54"/>
  <c r="Z53" i="54" s="1"/>
  <c r="I11" i="13"/>
  <c r="G21" i="13" s="1"/>
  <c r="C249" i="41"/>
  <c r="Q40" i="13"/>
  <c r="Z11" i="34"/>
  <c r="P26" i="36"/>
  <c r="P55" i="36" s="1"/>
  <c r="P26" i="38"/>
  <c r="P55" i="38" s="1"/>
  <c r="F6" i="13"/>
  <c r="F35" i="13" s="1"/>
  <c r="F6" i="38"/>
  <c r="F35" i="38" s="1"/>
  <c r="D20" i="34"/>
  <c r="D49" i="34"/>
  <c r="B815" i="41"/>
  <c r="B931" i="41"/>
  <c r="B3" i="41"/>
  <c r="M381" i="41" s="1"/>
  <c r="B351" i="41"/>
  <c r="F6" i="36"/>
  <c r="F35" i="36" s="1"/>
  <c r="T4" i="13"/>
  <c r="T33" i="13" s="1"/>
  <c r="B583" i="41"/>
  <c r="F6" i="34"/>
  <c r="F35" i="34" s="1"/>
  <c r="B467" i="41"/>
  <c r="T4" i="38"/>
  <c r="T33" i="38" s="1"/>
  <c r="O67" i="54"/>
  <c r="F67" i="54"/>
  <c r="M49" i="38"/>
  <c r="A1" i="13"/>
  <c r="A30" i="13" s="1"/>
  <c r="A1" i="41"/>
  <c r="A813" i="41" s="1"/>
  <c r="B15" i="50"/>
  <c r="D15" i="50"/>
  <c r="G15" i="50"/>
  <c r="G22" i="50"/>
  <c r="F15" i="50"/>
  <c r="D22" i="50"/>
  <c r="E24" i="50"/>
  <c r="G34" i="50"/>
  <c r="H22" i="50"/>
  <c r="G8" i="50"/>
  <c r="E20" i="50"/>
  <c r="G26" i="50"/>
  <c r="H34" i="50"/>
  <c r="E15" i="50"/>
  <c r="F29" i="50"/>
  <c r="J12" i="50"/>
  <c r="F22" i="50"/>
  <c r="D34" i="50"/>
  <c r="F20" i="50"/>
  <c r="J9" i="50"/>
  <c r="J11" i="50"/>
  <c r="G20" i="50"/>
  <c r="A1" i="54"/>
  <c r="A1" i="36"/>
  <c r="A30" i="36" s="1"/>
  <c r="A1" i="34"/>
  <c r="A30" i="34" s="1"/>
  <c r="C708" i="41"/>
  <c r="G19" i="38"/>
  <c r="G46" i="38"/>
  <c r="M46" i="34"/>
  <c r="G46" i="36"/>
  <c r="BC41" i="40"/>
  <c r="H6" i="50"/>
  <c r="A707" i="41"/>
  <c r="A718" i="41" s="1"/>
  <c r="C655" i="41"/>
  <c r="C1003" i="41"/>
  <c r="A946" i="41"/>
  <c r="F37" i="50"/>
  <c r="G36" i="50"/>
  <c r="A823" i="41"/>
  <c r="A834" i="41" s="1"/>
  <c r="B33" i="50"/>
  <c r="H36" i="50"/>
  <c r="C738" i="41"/>
  <c r="A825" i="41"/>
  <c r="G37" i="50"/>
  <c r="C307" i="41"/>
  <c r="C365" i="41"/>
  <c r="A308" i="41"/>
  <c r="A739" i="41"/>
  <c r="E36" i="50"/>
  <c r="L860" i="41"/>
  <c r="L858" i="41"/>
  <c r="L866" i="41" s="1"/>
  <c r="A621" i="41"/>
  <c r="A632" i="41" s="1"/>
  <c r="A623" i="41"/>
  <c r="C622" i="41"/>
  <c r="G70" i="40"/>
  <c r="N882" i="41"/>
  <c r="L396" i="41"/>
  <c r="A828" i="41"/>
  <c r="A836" i="41" s="1"/>
  <c r="L996" i="41"/>
  <c r="L997" i="41" s="1"/>
  <c r="L1008" i="41" s="1"/>
  <c r="A997" i="41"/>
  <c r="A1008" i="41" s="1"/>
  <c r="A278" i="41"/>
  <c r="A286" i="41" s="1"/>
  <c r="A338" i="41"/>
  <c r="A913" i="41"/>
  <c r="C975" i="41"/>
  <c r="C998" i="41"/>
  <c r="A976" i="41"/>
  <c r="G31" i="50"/>
  <c r="L178" i="41"/>
  <c r="E28" i="50"/>
  <c r="L649" i="41"/>
  <c r="L660" i="41" s="1"/>
  <c r="L331" i="41"/>
  <c r="L342" i="41" s="1"/>
  <c r="D31" i="50"/>
  <c r="B29" i="50"/>
  <c r="L275" i="41"/>
  <c r="N597" i="41"/>
  <c r="D29" i="50"/>
  <c r="G25" i="50"/>
  <c r="E31" i="50"/>
  <c r="H29" i="50"/>
  <c r="F31" i="50"/>
  <c r="H31" i="50"/>
  <c r="N274" i="41"/>
  <c r="A853" i="41"/>
  <c r="A864" i="41" s="1"/>
  <c r="N824" i="41"/>
  <c r="L772" i="41"/>
  <c r="D25" i="50"/>
  <c r="A971" i="41"/>
  <c r="A208" i="41"/>
  <c r="E14" i="50"/>
  <c r="A855" i="41"/>
  <c r="A280" i="41"/>
  <c r="L593" i="41"/>
  <c r="E27" i="50"/>
  <c r="G30" i="50"/>
  <c r="F25" i="50"/>
  <c r="L150" i="41"/>
  <c r="L208" i="41"/>
  <c r="C970" i="41"/>
  <c r="H7" i="50"/>
  <c r="G27" i="50"/>
  <c r="A767" i="41"/>
  <c r="A359" i="41"/>
  <c r="A370" i="41" s="1"/>
  <c r="F7" i="50"/>
  <c r="L477" i="41"/>
  <c r="H25" i="50"/>
  <c r="F27" i="50"/>
  <c r="H30" i="50"/>
  <c r="F14" i="50"/>
  <c r="B25" i="50"/>
  <c r="H32" i="50"/>
  <c r="D23" i="50"/>
  <c r="A178" i="41"/>
  <c r="E12" i="50"/>
  <c r="H27" i="50"/>
  <c r="C592" i="41"/>
  <c r="C627" i="41"/>
  <c r="A628" i="41"/>
  <c r="N917" i="41"/>
  <c r="L916" i="41"/>
  <c r="L924" i="41" s="1"/>
  <c r="L918" i="41"/>
  <c r="L34" i="41"/>
  <c r="L301" i="41"/>
  <c r="L312" i="41" s="1"/>
  <c r="A654" i="41"/>
  <c r="A662" i="41" s="1"/>
  <c r="L881" i="41"/>
  <c r="L892" i="41" s="1"/>
  <c r="A507" i="41"/>
  <c r="L626" i="41"/>
  <c r="L634" i="41" s="1"/>
  <c r="H26" i="50"/>
  <c r="H28" i="50"/>
  <c r="A651" i="41"/>
  <c r="D37" i="50"/>
  <c r="B14" i="50"/>
  <c r="F30" i="50"/>
  <c r="L681" i="41"/>
  <c r="L303" i="41"/>
  <c r="G28" i="50"/>
  <c r="E26" i="50"/>
  <c r="G12" i="50"/>
  <c r="C766" i="41"/>
  <c r="A714" i="41"/>
  <c r="A482" i="41"/>
  <c r="L628" i="41"/>
  <c r="F26" i="50"/>
  <c r="B37" i="50"/>
  <c r="H37" i="50"/>
  <c r="D28" i="50"/>
  <c r="N680" i="41"/>
  <c r="E7" i="50"/>
  <c r="D7" i="50"/>
  <c r="E30" i="50"/>
  <c r="H12" i="50"/>
  <c r="M67" i="40"/>
  <c r="W95" i="40"/>
  <c r="A712" i="41"/>
  <c r="A720" i="41" s="1"/>
  <c r="A505" i="41"/>
  <c r="A516" i="41" s="1"/>
  <c r="N476" i="41"/>
  <c r="L976" i="41"/>
  <c r="L827" i="41"/>
  <c r="D32" i="50"/>
  <c r="F28" i="50"/>
  <c r="B26" i="50"/>
  <c r="E37" i="50"/>
  <c r="A918" i="41"/>
  <c r="H14" i="50"/>
  <c r="F32" i="50"/>
  <c r="D14" i="50"/>
  <c r="D30" i="50"/>
  <c r="G7" i="50"/>
  <c r="F12" i="50"/>
  <c r="E32" i="50"/>
  <c r="A366" i="41"/>
  <c r="C360" i="41"/>
  <c r="L944" i="41"/>
  <c r="L952" i="41" s="1"/>
  <c r="N854" i="41"/>
  <c r="A830" i="41"/>
  <c r="A626" i="41"/>
  <c r="A634" i="41" s="1"/>
  <c r="B11" i="50"/>
  <c r="C912" i="41"/>
  <c r="L767" i="41"/>
  <c r="G29" i="50"/>
  <c r="E33" i="50"/>
  <c r="G17" i="50"/>
  <c r="A681" i="41"/>
  <c r="F23" i="50"/>
  <c r="E19" i="50"/>
  <c r="F19" i="50"/>
  <c r="E23" i="50"/>
  <c r="A939" i="41"/>
  <c r="A950" i="41" s="1"/>
  <c r="A772" i="41"/>
  <c r="L707" i="41"/>
  <c r="L718" i="41" s="1"/>
  <c r="L591" i="41"/>
  <c r="L602" i="41" s="1"/>
  <c r="D36" i="50"/>
  <c r="N945" i="41"/>
  <c r="L855" i="41"/>
  <c r="D11" i="50"/>
  <c r="D33" i="50"/>
  <c r="H33" i="50"/>
  <c r="C680" i="41"/>
  <c r="F35" i="50"/>
  <c r="G19" i="50"/>
  <c r="G23" i="50"/>
  <c r="A770" i="41"/>
  <c r="A778" i="41" s="1"/>
  <c r="N511" i="41"/>
  <c r="N506" i="41"/>
  <c r="N244" i="41"/>
  <c r="E11" i="50"/>
  <c r="L245" i="41"/>
  <c r="A475" i="41"/>
  <c r="A486" i="41" s="1"/>
  <c r="N912" i="41"/>
  <c r="L507" i="41"/>
  <c r="L364" i="41"/>
  <c r="L372" i="41" s="1"/>
  <c r="A593" i="41"/>
  <c r="H11" i="50"/>
  <c r="H35" i="50"/>
  <c r="G35" i="50"/>
  <c r="N766" i="41"/>
  <c r="G33" i="50"/>
  <c r="H19" i="50"/>
  <c r="D19" i="50"/>
  <c r="H23" i="50"/>
  <c r="E35" i="50"/>
  <c r="L714" i="41"/>
  <c r="L886" i="41"/>
  <c r="L894" i="41" s="1"/>
  <c r="N887" i="41"/>
  <c r="L888" i="41"/>
  <c r="A510" i="41"/>
  <c r="A518" i="41" s="1"/>
  <c r="H13" i="50"/>
  <c r="N859" i="41"/>
  <c r="M49" i="36"/>
  <c r="O10" i="13"/>
  <c r="C11" i="54"/>
  <c r="I11" i="54" s="1"/>
  <c r="C34" i="54"/>
  <c r="I34" i="54" s="1"/>
  <c r="A744" i="41"/>
  <c r="E9" i="50"/>
  <c r="A512" i="41"/>
  <c r="L742" i="41"/>
  <c r="L750" i="41" s="1"/>
  <c r="L366" i="41"/>
  <c r="C1033" i="41"/>
  <c r="L686" i="41"/>
  <c r="H8" i="50"/>
  <c r="O39" i="13"/>
  <c r="O38" i="34"/>
  <c r="L1001" i="41"/>
  <c r="N771" i="41"/>
  <c r="L712" i="41"/>
  <c r="L720" i="41" s="1"/>
  <c r="C597" i="41"/>
  <c r="L394" i="41"/>
  <c r="L402" i="41" s="1"/>
  <c r="A336" i="41"/>
  <c r="A344" i="41" s="1"/>
  <c r="B36" i="50"/>
  <c r="D13" i="50"/>
  <c r="Q10" i="13"/>
  <c r="Z38" i="34"/>
  <c r="F38" i="34"/>
  <c r="G38" i="34" s="1"/>
  <c r="H38" i="34" s="1"/>
  <c r="N975" i="41"/>
  <c r="A598" i="41"/>
  <c r="F13" i="50"/>
  <c r="E13" i="50"/>
  <c r="A860" i="41"/>
  <c r="C859" i="41"/>
  <c r="N685" i="41"/>
  <c r="H9" i="50"/>
  <c r="F8" i="50"/>
  <c r="Z39" i="13"/>
  <c r="I39" i="13"/>
  <c r="G48" i="13" s="1"/>
  <c r="F10" i="13"/>
  <c r="G10" i="13" s="1"/>
  <c r="H10" i="13" s="1"/>
  <c r="A944" i="41"/>
  <c r="A952" i="41" s="1"/>
  <c r="L92" i="41"/>
  <c r="D20" i="50"/>
  <c r="D16" i="50"/>
  <c r="B12" i="50"/>
  <c r="B10" i="50"/>
  <c r="O19" i="54"/>
  <c r="I10" i="13"/>
  <c r="G19" i="13" s="1"/>
  <c r="Z19" i="54"/>
  <c r="AG38" i="34"/>
  <c r="G13" i="50"/>
  <c r="B9" i="50"/>
  <c r="F9" i="50"/>
  <c r="B13" i="50"/>
  <c r="A1034" i="41"/>
  <c r="D8" i="50"/>
  <c r="D9" i="50"/>
  <c r="E8" i="50"/>
  <c r="Q39" i="13"/>
  <c r="G49" i="34"/>
  <c r="G45" i="34"/>
  <c r="T4" i="36"/>
  <c r="T33" i="36" s="1"/>
  <c r="F4" i="38"/>
  <c r="F33" i="38" s="1"/>
  <c r="F4" i="34"/>
  <c r="F33" i="34" s="1"/>
  <c r="F4" i="36"/>
  <c r="F33" i="36" s="1"/>
  <c r="F4" i="13"/>
  <c r="F33" i="13" s="1"/>
  <c r="O59" i="54"/>
  <c r="BI23" i="38"/>
  <c r="D47" i="38"/>
  <c r="BM53" i="38"/>
  <c r="BH53" i="38" s="1"/>
  <c r="Q66" i="54"/>
  <c r="M45" i="38"/>
  <c r="O66" i="54"/>
  <c r="BI21" i="38"/>
  <c r="AQ21" i="38" s="1"/>
  <c r="Z66" i="54"/>
  <c r="I66" i="54"/>
  <c r="Q12" i="38"/>
  <c r="Q59" i="54"/>
  <c r="AG41" i="38"/>
  <c r="Z41" i="38"/>
  <c r="BM51" i="38"/>
  <c r="F47" i="38"/>
  <c r="G18" i="38"/>
  <c r="G47" i="38"/>
  <c r="G49" i="38"/>
  <c r="O41" i="38"/>
  <c r="BM21" i="38"/>
  <c r="I12" i="38"/>
  <c r="M19" i="38" s="1"/>
  <c r="BI51" i="38"/>
  <c r="AY51" i="38" s="1"/>
  <c r="BI53" i="38"/>
  <c r="BH49" i="38"/>
  <c r="BZ47" i="38" s="1"/>
  <c r="BU50" i="38" s="1"/>
  <c r="I61" i="54"/>
  <c r="F61" i="54"/>
  <c r="Z61" i="54"/>
  <c r="O61" i="54"/>
  <c r="Q61" i="54"/>
  <c r="BM52" i="38"/>
  <c r="BH51" i="38"/>
  <c r="BX47" i="38" s="1"/>
  <c r="BI24" i="38"/>
  <c r="BI54" i="38"/>
  <c r="BI25" i="38"/>
  <c r="BM22" i="38"/>
  <c r="BH22" i="38" s="1"/>
  <c r="BX18" i="38" s="1"/>
  <c r="BU20" i="38" s="1"/>
  <c r="BM50" i="38"/>
  <c r="BI50" i="38"/>
  <c r="BB23" i="38"/>
  <c r="AE23" i="38"/>
  <c r="AQ23" i="38"/>
  <c r="AZ23" i="38"/>
  <c r="AS23" i="38"/>
  <c r="BA51" i="38"/>
  <c r="AP51" i="38"/>
  <c r="AZ53" i="38"/>
  <c r="AP53" i="38"/>
  <c r="AE53" i="38"/>
  <c r="AQ53" i="38"/>
  <c r="AY53" i="38"/>
  <c r="BM20" i="38"/>
  <c r="BI20" i="38"/>
  <c r="BB20" i="38" s="1"/>
  <c r="BI49" i="38"/>
  <c r="Z59" i="54"/>
  <c r="AR21" i="38"/>
  <c r="AZ21" i="38"/>
  <c r="BM54" i="38"/>
  <c r="C69" i="54"/>
  <c r="Z12" i="38"/>
  <c r="BA21" i="38"/>
  <c r="BM25" i="38"/>
  <c r="BM24" i="38"/>
  <c r="BH24" i="38" s="1"/>
  <c r="BV18" i="38" s="1"/>
  <c r="BI52" i="38"/>
  <c r="AG12" i="38"/>
  <c r="O12" i="38"/>
  <c r="I59" i="54"/>
  <c r="M20" i="38"/>
  <c r="M50" i="38"/>
  <c r="Q41" i="38"/>
  <c r="F41" i="38"/>
  <c r="G41" i="38" s="1"/>
  <c r="H41" i="38" s="1"/>
  <c r="BI22" i="38"/>
  <c r="BI23" i="36"/>
  <c r="N249" i="41"/>
  <c r="A446" i="41"/>
  <c r="C448" i="41" s="1"/>
  <c r="V33" i="40"/>
  <c r="AC48" i="40"/>
  <c r="B817" i="41"/>
  <c r="B818" i="41" s="1"/>
  <c r="M5" i="41"/>
  <c r="M6" i="41" s="1"/>
  <c r="B5" i="41"/>
  <c r="B6" i="41" s="1"/>
  <c r="Q43" i="54"/>
  <c r="L68" i="41"/>
  <c r="L69" i="41" s="1"/>
  <c r="L80" i="41" s="1"/>
  <c r="A330" i="41"/>
  <c r="A333" i="41" s="1"/>
  <c r="M353" i="41"/>
  <c r="M354" i="41" s="1"/>
  <c r="AC40" i="40"/>
  <c r="B63" i="41"/>
  <c r="B64" i="41" s="1"/>
  <c r="A40" i="41"/>
  <c r="C42" i="41" s="1"/>
  <c r="G50" i="36"/>
  <c r="D49" i="36"/>
  <c r="F9" i="36"/>
  <c r="G9" i="36" s="1"/>
  <c r="H9" i="36" s="1"/>
  <c r="C50" i="54"/>
  <c r="O50" i="54" s="1"/>
  <c r="C42" i="54"/>
  <c r="F42" i="54" s="1"/>
  <c r="M47" i="36"/>
  <c r="O43" i="54"/>
  <c r="F50" i="36"/>
  <c r="AG9" i="36"/>
  <c r="I43" i="54"/>
  <c r="L1031" i="41"/>
  <c r="L1034" i="41" s="1"/>
  <c r="I38" i="36"/>
  <c r="G20" i="36"/>
  <c r="G16" i="36"/>
  <c r="G18" i="36"/>
  <c r="BM21" i="36"/>
  <c r="BH21" i="36" s="1"/>
  <c r="BX19" i="36" s="1"/>
  <c r="Q38" i="36"/>
  <c r="Z38" i="36"/>
  <c r="O9" i="36"/>
  <c r="BI22" i="36"/>
  <c r="BA22" i="36" s="1"/>
  <c r="F19" i="36"/>
  <c r="F20" i="36"/>
  <c r="Q51" i="54"/>
  <c r="F17" i="36"/>
  <c r="AG38" i="36"/>
  <c r="Z9" i="36"/>
  <c r="F21" i="36"/>
  <c r="F51" i="54"/>
  <c r="O38" i="36"/>
  <c r="Q9" i="36"/>
  <c r="BM25" i="36"/>
  <c r="BH25" i="36" s="1"/>
  <c r="BZ20" i="36" s="1"/>
  <c r="BY21" i="36" s="1"/>
  <c r="Z43" i="54"/>
  <c r="D21" i="50"/>
  <c r="B441" i="41"/>
  <c r="B442" i="41" s="1"/>
  <c r="B93" i="41"/>
  <c r="B94" i="41" s="1"/>
  <c r="E21" i="50"/>
  <c r="Z51" i="54"/>
  <c r="Q53" i="54"/>
  <c r="L335" i="41"/>
  <c r="N337" i="41" s="1"/>
  <c r="L451" i="41"/>
  <c r="L454" i="41" s="1"/>
  <c r="O51" i="54"/>
  <c r="M441" i="41"/>
  <c r="M442" i="41" s="1"/>
  <c r="L161" i="41"/>
  <c r="L162" i="41" s="1"/>
  <c r="L170" i="41" s="1"/>
  <c r="V41" i="40"/>
  <c r="L277" i="41"/>
  <c r="N279" i="41" s="1"/>
  <c r="M88" i="40"/>
  <c r="B875" i="41"/>
  <c r="B876" i="41" s="1"/>
  <c r="B295" i="41"/>
  <c r="B296" i="41" s="1"/>
  <c r="Q28" i="40"/>
  <c r="B411" i="41"/>
  <c r="B412" i="41" s="1"/>
  <c r="F44" i="54"/>
  <c r="O44" i="54"/>
  <c r="O52" i="54"/>
  <c r="Q44" i="54"/>
  <c r="I52" i="54"/>
  <c r="Z44" i="54"/>
  <c r="AQ23" i="36"/>
  <c r="AE23" i="36"/>
  <c r="BM54" i="36"/>
  <c r="BH54" i="36" s="1"/>
  <c r="BZ49" i="36" s="1"/>
  <c r="BI54" i="36"/>
  <c r="BA54" i="36" s="1"/>
  <c r="BI53" i="36"/>
  <c r="BM53" i="36"/>
  <c r="BH53" i="36" s="1"/>
  <c r="BV47" i="36" s="1"/>
  <c r="BU48" i="36" s="1"/>
  <c r="BI24" i="36"/>
  <c r="AZ24" i="36" s="1"/>
  <c r="BI50" i="36"/>
  <c r="BA50" i="36" s="1"/>
  <c r="BM52" i="36"/>
  <c r="BI52" i="36"/>
  <c r="BB52" i="36" s="1"/>
  <c r="BM49" i="36"/>
  <c r="BI49" i="36"/>
  <c r="BM51" i="36"/>
  <c r="BM24" i="36"/>
  <c r="M21" i="36"/>
  <c r="BM50" i="36"/>
  <c r="BI51" i="36"/>
  <c r="AG12" i="36"/>
  <c r="F12" i="36"/>
  <c r="G12" i="36" s="1"/>
  <c r="H12" i="36" s="1"/>
  <c r="C45" i="54"/>
  <c r="M16" i="36"/>
  <c r="O12" i="36"/>
  <c r="BM23" i="36"/>
  <c r="BI21" i="36"/>
  <c r="AQ21" i="36" s="1"/>
  <c r="BM22" i="36"/>
  <c r="BH22" i="36" s="1"/>
  <c r="BX18" i="36" s="1"/>
  <c r="BU20" i="36" s="1"/>
  <c r="G46" i="34"/>
  <c r="G48" i="34"/>
  <c r="M47" i="34"/>
  <c r="M18" i="34"/>
  <c r="BI54" i="34"/>
  <c r="BB54" i="34" s="1"/>
  <c r="BI52" i="34"/>
  <c r="AZ52" i="34" s="1"/>
  <c r="BI50" i="34"/>
  <c r="AZ50" i="34" s="1"/>
  <c r="BM50" i="34"/>
  <c r="BH50" i="34" s="1"/>
  <c r="BX48" i="34" s="1"/>
  <c r="L248" i="41"/>
  <c r="L256" i="41" s="1"/>
  <c r="AC18" i="40"/>
  <c r="B905" i="41"/>
  <c r="B906" i="41" s="1"/>
  <c r="Q27" i="54"/>
  <c r="A799" i="41"/>
  <c r="C801" i="41" s="1"/>
  <c r="L1026" i="41"/>
  <c r="N1028" i="41" s="1"/>
  <c r="M20" i="34"/>
  <c r="F35" i="54"/>
  <c r="AE50" i="34"/>
  <c r="F27" i="54"/>
  <c r="G17" i="34"/>
  <c r="O35" i="54"/>
  <c r="Z35" i="54"/>
  <c r="BM25" i="34"/>
  <c r="BH25" i="34" s="1"/>
  <c r="BZ20" i="34" s="1"/>
  <c r="BM21" i="34"/>
  <c r="O27" i="54"/>
  <c r="Q35" i="54"/>
  <c r="AG41" i="34"/>
  <c r="O41" i="34"/>
  <c r="C37" i="54"/>
  <c r="Q37" i="54" s="1"/>
  <c r="BM22" i="34"/>
  <c r="BI22" i="34"/>
  <c r="BL21" i="34"/>
  <c r="BY19" i="34" s="1"/>
  <c r="BV20" i="34" s="1"/>
  <c r="BH21" i="34"/>
  <c r="BX19" i="34" s="1"/>
  <c r="BI21" i="34"/>
  <c r="AE21" i="34" s="1"/>
  <c r="BM54" i="34"/>
  <c r="BA51" i="34"/>
  <c r="AY51" i="34"/>
  <c r="AP51" i="34"/>
  <c r="F9" i="34"/>
  <c r="G9" i="34" s="1"/>
  <c r="H9" i="34" s="1"/>
  <c r="AG9" i="34"/>
  <c r="I9" i="34"/>
  <c r="Q9" i="34"/>
  <c r="Z9" i="34"/>
  <c r="F12" i="34"/>
  <c r="G12" i="34" s="1"/>
  <c r="H12" i="34" s="1"/>
  <c r="O12" i="34"/>
  <c r="C29" i="54"/>
  <c r="F29" i="54" s="1"/>
  <c r="I12" i="34"/>
  <c r="Q12" i="34"/>
  <c r="I41" i="34"/>
  <c r="Q41" i="34"/>
  <c r="Z41" i="34"/>
  <c r="AS52" i="34"/>
  <c r="BB52" i="34"/>
  <c r="BM51" i="34"/>
  <c r="BM23" i="34"/>
  <c r="BI23" i="34"/>
  <c r="AR54" i="34"/>
  <c r="BA54" i="34"/>
  <c r="AS54" i="34"/>
  <c r="AE54" i="34"/>
  <c r="AG12" i="34"/>
  <c r="O9" i="34"/>
  <c r="C26" i="54"/>
  <c r="BA50" i="34"/>
  <c r="BI49" i="34"/>
  <c r="BM49" i="34"/>
  <c r="AE51" i="34"/>
  <c r="BM53" i="34"/>
  <c r="BI53" i="34"/>
  <c r="BI25" i="34"/>
  <c r="BM20" i="34"/>
  <c r="BI20" i="34"/>
  <c r="AS20" i="34" s="1"/>
  <c r="AE22" i="34"/>
  <c r="BI24" i="34"/>
  <c r="AE24" i="34" s="1"/>
  <c r="BM24" i="34"/>
  <c r="Q19" i="54"/>
  <c r="Q16" i="40"/>
  <c r="M63" i="41"/>
  <c r="M64" i="41" s="1"/>
  <c r="I19" i="54"/>
  <c r="B1021" i="41"/>
  <c r="B1022" i="41" s="1"/>
  <c r="L76" i="41"/>
  <c r="F18" i="13"/>
  <c r="A131" i="41"/>
  <c r="A132" i="41" s="1"/>
  <c r="A140" i="41" s="1"/>
  <c r="A795" i="41"/>
  <c r="A806" i="41" s="1"/>
  <c r="B991" i="41"/>
  <c r="B992" i="41" s="1"/>
  <c r="C796" i="41"/>
  <c r="Q26" i="40"/>
  <c r="B527" i="41"/>
  <c r="B528" i="41" s="1"/>
  <c r="M1021" i="41"/>
  <c r="M1022" i="41" s="1"/>
  <c r="Q12" i="40"/>
  <c r="AI77" i="40"/>
  <c r="BM23" i="13"/>
  <c r="BH23" i="13" s="1"/>
  <c r="BZ19" i="13" s="1"/>
  <c r="F17" i="13"/>
  <c r="I38" i="13"/>
  <c r="BI53" i="13"/>
  <c r="AZ53" i="13" s="1"/>
  <c r="L570" i="41"/>
  <c r="BI49" i="13"/>
  <c r="F20" i="13"/>
  <c r="AG38" i="13"/>
  <c r="M759" i="41"/>
  <c r="M760" i="41" s="1"/>
  <c r="Z38" i="13"/>
  <c r="Q38" i="13"/>
  <c r="C18" i="54"/>
  <c r="I18" i="54" s="1"/>
  <c r="BI25" i="13"/>
  <c r="AE25" i="13" s="1"/>
  <c r="Q20" i="40"/>
  <c r="M237" i="41"/>
  <c r="M238" i="41" s="1"/>
  <c r="A451" i="41"/>
  <c r="A454" i="41" s="1"/>
  <c r="A156" i="41"/>
  <c r="A159" i="41" s="1"/>
  <c r="AI89" i="40"/>
  <c r="A220" i="41"/>
  <c r="A228" i="41" s="1"/>
  <c r="M933" i="41"/>
  <c r="M934" i="41" s="1"/>
  <c r="N75" i="41"/>
  <c r="C221" i="41"/>
  <c r="V43" i="40"/>
  <c r="B731" i="41"/>
  <c r="B732" i="41" s="1"/>
  <c r="AN82" i="40"/>
  <c r="M469" i="41"/>
  <c r="M470" i="41" s="1"/>
  <c r="V37" i="40"/>
  <c r="Q42" i="40"/>
  <c r="N801" i="41"/>
  <c r="L802" i="41"/>
  <c r="L422" i="41"/>
  <c r="L430" i="41" s="1"/>
  <c r="L424" i="41"/>
  <c r="L98" i="41"/>
  <c r="AI85" i="40"/>
  <c r="Q36" i="40"/>
  <c r="N128" i="41"/>
  <c r="B557" i="41"/>
  <c r="B558" i="41" s="1"/>
  <c r="Q38" i="40"/>
  <c r="L189" i="41"/>
  <c r="N191" i="41" s="1"/>
  <c r="L131" i="41"/>
  <c r="V47" i="40"/>
  <c r="AB22" i="36"/>
  <c r="C27" i="36" s="1"/>
  <c r="AB51" i="38"/>
  <c r="C56" i="38" s="1"/>
  <c r="K56" i="38" s="1"/>
  <c r="AB51" i="36"/>
  <c r="M52" i="36" s="1"/>
  <c r="H21" i="50"/>
  <c r="L15" i="41"/>
  <c r="M701" i="41"/>
  <c r="M702" i="41" s="1"/>
  <c r="A416" i="41"/>
  <c r="A417" i="41" s="1"/>
  <c r="A428" i="41" s="1"/>
  <c r="A242" i="41"/>
  <c r="C244" i="41" s="1"/>
  <c r="M82" i="40"/>
  <c r="G21" i="50"/>
  <c r="M905" i="41"/>
  <c r="M906" i="41" s="1"/>
  <c r="A15" i="41"/>
  <c r="Q40" i="40"/>
  <c r="AB51" i="34"/>
  <c r="C55" i="34" s="1"/>
  <c r="K55" i="34" s="1"/>
  <c r="F21" i="50"/>
  <c r="L129" i="41"/>
  <c r="B789" i="41"/>
  <c r="B790" i="41" s="1"/>
  <c r="AN86" i="40"/>
  <c r="B325" i="41"/>
  <c r="B326" i="41" s="1"/>
  <c r="AC10" i="40"/>
  <c r="B21" i="50"/>
  <c r="B963" i="41"/>
  <c r="B964" i="41" s="1"/>
  <c r="L184" i="41"/>
  <c r="L106" i="41"/>
  <c r="L104" i="41"/>
  <c r="L112" i="41" s="1"/>
  <c r="N105" i="41"/>
  <c r="N569" i="41"/>
  <c r="A532" i="41"/>
  <c r="Q10" i="40"/>
  <c r="M875" i="41"/>
  <c r="M876" i="41" s="1"/>
  <c r="A126" i="41"/>
  <c r="A272" i="41"/>
  <c r="L800" i="41"/>
  <c r="L808" i="41" s="1"/>
  <c r="AN80" i="40"/>
  <c r="L533" i="41"/>
  <c r="L544" i="41" s="1"/>
  <c r="V25" i="40"/>
  <c r="M411" i="41"/>
  <c r="M412" i="41" s="1"/>
  <c r="AN90" i="40"/>
  <c r="N534" i="41"/>
  <c r="M325" i="41"/>
  <c r="M326" i="41" s="1"/>
  <c r="L43" i="41"/>
  <c r="N42" i="41"/>
  <c r="L41" i="41"/>
  <c r="L52" i="41" s="1"/>
  <c r="L540" i="41"/>
  <c r="L538" i="41"/>
  <c r="L546" i="41" s="1"/>
  <c r="N539" i="41"/>
  <c r="N796" i="41"/>
  <c r="L797" i="41"/>
  <c r="L795" i="41"/>
  <c r="L806" i="41" s="1"/>
  <c r="AB51" i="13"/>
  <c r="C56" i="13" s="1"/>
  <c r="L562" i="41"/>
  <c r="AN88" i="40"/>
  <c r="BI52" i="13"/>
  <c r="BM52" i="13"/>
  <c r="F9" i="13"/>
  <c r="G9" i="13" s="1"/>
  <c r="H9" i="13" s="1"/>
  <c r="AG9" i="13"/>
  <c r="C21" i="54"/>
  <c r="F41" i="13"/>
  <c r="G41" i="13" s="1"/>
  <c r="H41" i="13" s="1"/>
  <c r="Q41" i="13"/>
  <c r="AG41" i="13"/>
  <c r="I41" i="13"/>
  <c r="Z41" i="13"/>
  <c r="D49" i="13"/>
  <c r="D47" i="13"/>
  <c r="M78" i="40"/>
  <c r="A421" i="41"/>
  <c r="A76" i="41"/>
  <c r="C75" i="41"/>
  <c r="A74" i="41"/>
  <c r="A82" i="41" s="1"/>
  <c r="L305" i="41"/>
  <c r="B847" i="41"/>
  <c r="B848" i="41" s="1"/>
  <c r="B383" i="41"/>
  <c r="B384" i="41" s="1"/>
  <c r="AC38" i="40"/>
  <c r="B35" i="41"/>
  <c r="B36" i="41" s="1"/>
  <c r="A10" i="41"/>
  <c r="V11" i="40"/>
  <c r="A45" i="41"/>
  <c r="V23" i="40"/>
  <c r="O41" i="13"/>
  <c r="A301" i="41"/>
  <c r="A312" i="41" s="1"/>
  <c r="C302" i="41"/>
  <c r="BM51" i="13"/>
  <c r="BH51" i="13" s="1"/>
  <c r="BI51" i="13"/>
  <c r="BB25" i="13"/>
  <c r="AS25" i="13"/>
  <c r="AR25" i="13"/>
  <c r="BW21" i="13"/>
  <c r="BA25" i="13"/>
  <c r="AB22" i="13"/>
  <c r="L416" i="41"/>
  <c r="M80" i="40"/>
  <c r="A101" i="41"/>
  <c r="A99" i="41"/>
  <c r="A110" i="41" s="1"/>
  <c r="A215" i="41"/>
  <c r="A226" i="41" s="1"/>
  <c r="C216" i="41"/>
  <c r="A570" i="41"/>
  <c r="C569" i="41"/>
  <c r="A568" i="41"/>
  <c r="A576" i="41" s="1"/>
  <c r="BI23" i="13"/>
  <c r="BM21" i="13"/>
  <c r="BI21" i="13"/>
  <c r="BI22" i="13"/>
  <c r="AB22" i="34"/>
  <c r="V15" i="40"/>
  <c r="L10" i="41"/>
  <c r="C105" i="41"/>
  <c r="A106" i="41"/>
  <c r="A104" i="41"/>
  <c r="A112" i="41" s="1"/>
  <c r="BM50" i="13"/>
  <c r="BI50" i="13"/>
  <c r="BM53" i="13"/>
  <c r="BM25" i="13"/>
  <c r="BM20" i="13"/>
  <c r="BI20" i="13"/>
  <c r="BM24" i="13"/>
  <c r="BI24" i="13"/>
  <c r="L219" i="41"/>
  <c r="Q48" i="40"/>
  <c r="B237" i="41"/>
  <c r="B238" i="41" s="1"/>
  <c r="M731" i="41"/>
  <c r="M732" i="41" s="1"/>
  <c r="M267" i="41"/>
  <c r="M268" i="41" s="1"/>
  <c r="Q30" i="40"/>
  <c r="A184" i="41"/>
  <c r="L449" i="41"/>
  <c r="L447" i="41"/>
  <c r="L458" i="41" s="1"/>
  <c r="N448" i="41"/>
  <c r="M847" i="41"/>
  <c r="M848" i="41" s="1"/>
  <c r="M383" i="41"/>
  <c r="M384" i="41" s="1"/>
  <c r="AC30" i="40"/>
  <c r="M35" i="41"/>
  <c r="M36" i="41" s="1"/>
  <c r="V31" i="40"/>
  <c r="A68" i="41"/>
  <c r="L45" i="41"/>
  <c r="V27" i="40"/>
  <c r="F46" i="13"/>
  <c r="F49" i="13"/>
  <c r="F50" i="13"/>
  <c r="I12" i="54"/>
  <c r="Q12" i="54"/>
  <c r="O12" i="54"/>
  <c r="F12" i="54"/>
  <c r="B469" i="41"/>
  <c r="B470" i="41" s="1"/>
  <c r="L214" i="41"/>
  <c r="Q46" i="40"/>
  <c r="Q32" i="40"/>
  <c r="M499" i="41"/>
  <c r="M500" i="41" s="1"/>
  <c r="M963" i="41"/>
  <c r="M964" i="41" s="1"/>
  <c r="A189" i="41"/>
  <c r="L157" i="41"/>
  <c r="L168" i="41" s="1"/>
  <c r="N158" i="41"/>
  <c r="A161" i="41"/>
  <c r="M991" i="41"/>
  <c r="M992" i="41" s="1"/>
  <c r="Q22" i="40"/>
  <c r="AN84" i="40"/>
  <c r="A562" i="41"/>
  <c r="A537" i="41"/>
  <c r="AN78" i="40"/>
  <c r="O11" i="54"/>
  <c r="BM49" i="13"/>
  <c r="BM22" i="13"/>
  <c r="AB22" i="38"/>
  <c r="F48" i="53"/>
  <c r="Q75" i="40"/>
  <c r="AZ24" i="38"/>
  <c r="AE24" i="38"/>
  <c r="AY24" i="38"/>
  <c r="AQ24" i="38"/>
  <c r="AQ26" i="38" s="1"/>
  <c r="AS54" i="38"/>
  <c r="AR54" i="38"/>
  <c r="BA54" i="38"/>
  <c r="AE54" i="38"/>
  <c r="BB54" i="38"/>
  <c r="BH50" i="38"/>
  <c r="BX48" i="38" s="1"/>
  <c r="BH52" i="38"/>
  <c r="BZ48" i="38" s="1"/>
  <c r="AP24" i="38"/>
  <c r="BI54" i="13"/>
  <c r="BM54" i="13"/>
  <c r="BM52" i="34"/>
  <c r="D18" i="13"/>
  <c r="D20" i="13"/>
  <c r="C882" i="41"/>
  <c r="A881" i="41"/>
  <c r="A892" i="41" s="1"/>
  <c r="AZ21" i="36"/>
  <c r="BM20" i="36"/>
  <c r="BI20" i="36"/>
  <c r="B17" i="50"/>
  <c r="F17" i="50"/>
  <c r="D17" i="50"/>
  <c r="H17" i="50"/>
  <c r="L736" i="41"/>
  <c r="AN69" i="40"/>
  <c r="I9" i="13"/>
  <c r="C10" i="54"/>
  <c r="Q9" i="13"/>
  <c r="O9" i="13"/>
  <c r="Z9" i="13"/>
  <c r="C13" i="54"/>
  <c r="I12" i="13"/>
  <c r="Q12" i="13"/>
  <c r="AG12" i="13"/>
  <c r="F12" i="13"/>
  <c r="G12" i="13" s="1"/>
  <c r="H12" i="13" s="1"/>
  <c r="Z12" i="13"/>
  <c r="O12" i="13"/>
  <c r="O41" i="36"/>
  <c r="AG41" i="36"/>
  <c r="F41" i="36"/>
  <c r="G41" i="36" s="1"/>
  <c r="H41" i="36" s="1"/>
  <c r="Z41" i="36"/>
  <c r="I41" i="36"/>
  <c r="C60" i="54"/>
  <c r="F11" i="38"/>
  <c r="G11" i="38" s="1"/>
  <c r="H11" i="38" s="1"/>
  <c r="Z11" i="38"/>
  <c r="AG11" i="38"/>
  <c r="I11" i="38"/>
  <c r="O11" i="38"/>
  <c r="C68" i="54"/>
  <c r="O40" i="38"/>
  <c r="I40" i="38"/>
  <c r="Z40" i="38"/>
  <c r="F40" i="38"/>
  <c r="G40" i="38" s="1"/>
  <c r="H40" i="38" s="1"/>
  <c r="AG40" i="38"/>
  <c r="AR54" i="36"/>
  <c r="AR50" i="36"/>
  <c r="D18" i="38"/>
  <c r="D20" i="38"/>
  <c r="L969" i="41"/>
  <c r="L980" i="41" s="1"/>
  <c r="L971" i="41"/>
  <c r="C685" i="41"/>
  <c r="A686" i="41"/>
  <c r="F48" i="13"/>
  <c r="F47" i="13"/>
  <c r="C395" i="41"/>
  <c r="A394" i="41"/>
  <c r="A402" i="41" s="1"/>
  <c r="J59" i="53"/>
  <c r="BV47" i="38"/>
  <c r="BL53" i="38"/>
  <c r="BW47" i="38" s="1"/>
  <c r="BT48" i="38" s="1"/>
  <c r="G16" i="38"/>
  <c r="AS23" i="36"/>
  <c r="AZ23" i="36"/>
  <c r="BB23" i="36"/>
  <c r="AE50" i="38"/>
  <c r="AZ50" i="38"/>
  <c r="N970" i="41"/>
  <c r="A684" i="41"/>
  <c r="A692" i="41" s="1"/>
  <c r="Q11" i="38"/>
  <c r="F60" i="53"/>
  <c r="V75" i="40"/>
  <c r="AZ53" i="36"/>
  <c r="AY53" i="36"/>
  <c r="AP53" i="36"/>
  <c r="AZ52" i="36"/>
  <c r="AY49" i="36"/>
  <c r="BB49" i="36"/>
  <c r="AS25" i="38"/>
  <c r="AR25" i="38"/>
  <c r="BA25" i="38"/>
  <c r="Q52" i="54"/>
  <c r="Z52" i="54"/>
  <c r="E786" i="41"/>
  <c r="AH75" i="40"/>
  <c r="L911" i="41"/>
  <c r="L922" i="41" s="1"/>
  <c r="AR64" i="40"/>
  <c r="F19" i="13"/>
  <c r="F46" i="38"/>
  <c r="L480" i="41"/>
  <c r="L488" i="41" s="1"/>
  <c r="N481" i="41"/>
  <c r="L389" i="41"/>
  <c r="L400" i="41" s="1"/>
  <c r="N390" i="41"/>
  <c r="L4" i="41"/>
  <c r="A34" i="41"/>
  <c r="L62" i="41"/>
  <c r="A92" i="41"/>
  <c r="M69" i="40"/>
  <c r="L620" i="41"/>
  <c r="C887" i="41"/>
  <c r="A886" i="41"/>
  <c r="A894" i="41" s="1"/>
  <c r="A888" i="41"/>
  <c r="A294" i="41"/>
  <c r="A324" i="41"/>
  <c r="L266" i="41"/>
  <c r="L236" i="41"/>
  <c r="L324" i="41"/>
  <c r="F50" i="38"/>
  <c r="F49" i="38"/>
  <c r="L939" i="41"/>
  <c r="L950" i="41" s="1"/>
  <c r="L941" i="41"/>
  <c r="A266" i="41"/>
  <c r="A742" i="41"/>
  <c r="A750" i="41" s="1"/>
  <c r="L709" i="41"/>
  <c r="L656" i="41"/>
  <c r="L654" i="41"/>
  <c r="L662" i="41" s="1"/>
  <c r="A480" i="41"/>
  <c r="A488" i="41" s="1"/>
  <c r="C476" i="41"/>
  <c r="BM23" i="38"/>
  <c r="J7" i="50"/>
  <c r="J18" i="50"/>
  <c r="J24" i="50"/>
  <c r="J27" i="50"/>
  <c r="J31" i="50"/>
  <c r="J35" i="50"/>
  <c r="J10" i="50"/>
  <c r="J23" i="50"/>
  <c r="J25" i="50"/>
  <c r="J29" i="50"/>
  <c r="J33" i="50"/>
  <c r="B24" i="50"/>
  <c r="D24" i="50"/>
  <c r="F24" i="50"/>
  <c r="BI25" i="36"/>
  <c r="G17" i="36" l="1"/>
  <c r="G19" i="36"/>
  <c r="L785" i="41"/>
  <c r="O58" i="54"/>
  <c r="I58" i="54"/>
  <c r="Q58" i="54"/>
  <c r="F58" i="54"/>
  <c r="M293" i="41"/>
  <c r="L1017" i="41"/>
  <c r="M235" i="41"/>
  <c r="A465" i="41"/>
  <c r="M903" i="41"/>
  <c r="M177" i="41"/>
  <c r="L697" i="41"/>
  <c r="A263" i="41"/>
  <c r="B293" i="41"/>
  <c r="M525" i="41"/>
  <c r="A379" i="41"/>
  <c r="M467" i="41"/>
  <c r="A755" i="41"/>
  <c r="L437" i="41"/>
  <c r="M18" i="13"/>
  <c r="F53" i="54"/>
  <c r="O20" i="54"/>
  <c r="I20" i="54"/>
  <c r="B961" i="41"/>
  <c r="A901" i="41"/>
  <c r="A727" i="41"/>
  <c r="A581" i="41"/>
  <c r="A959" i="41"/>
  <c r="I53" i="54"/>
  <c r="M845" i="41"/>
  <c r="M3" i="41"/>
  <c r="B641" i="41"/>
  <c r="B439" i="41"/>
  <c r="B381" i="41"/>
  <c r="B207" i="41"/>
  <c r="L581" i="41"/>
  <c r="L1" i="41"/>
  <c r="A669" i="41"/>
  <c r="A871" i="41"/>
  <c r="L321" i="41"/>
  <c r="A523" i="41"/>
  <c r="L205" i="41"/>
  <c r="A321" i="41"/>
  <c r="F20" i="54"/>
  <c r="A639" i="41"/>
  <c r="M961" i="41"/>
  <c r="M61" i="41"/>
  <c r="B1019" i="41"/>
  <c r="M787" i="41"/>
  <c r="M729" i="41"/>
  <c r="L465" i="41"/>
  <c r="L263" i="41"/>
  <c r="L379" i="41"/>
  <c r="A117" i="41"/>
  <c r="B497" i="41"/>
  <c r="O53" i="54"/>
  <c r="B873" i="41"/>
  <c r="B177" i="41"/>
  <c r="M33" i="41"/>
  <c r="M931" i="41"/>
  <c r="M873" i="41"/>
  <c r="B671" i="41"/>
  <c r="A553" i="41"/>
  <c r="A437" i="41"/>
  <c r="L117" i="41"/>
  <c r="L495" i="41"/>
  <c r="A697" i="41"/>
  <c r="L147" i="41"/>
  <c r="A987" i="41"/>
  <c r="Z20" i="54"/>
  <c r="M17" i="13"/>
  <c r="M497" i="41"/>
  <c r="L523" i="41"/>
  <c r="L755" i="41"/>
  <c r="L407" i="41"/>
  <c r="I28" i="54"/>
  <c r="Z28" i="54"/>
  <c r="F28" i="54"/>
  <c r="Q28" i="54"/>
  <c r="O28" i="54"/>
  <c r="A843" i="41"/>
  <c r="A147" i="41"/>
  <c r="A89" i="41"/>
  <c r="A407" i="41"/>
  <c r="L727" i="41"/>
  <c r="A205" i="41"/>
  <c r="A291" i="41"/>
  <c r="A233" i="41"/>
  <c r="A175" i="41"/>
  <c r="L291" i="41"/>
  <c r="L233" i="41"/>
  <c r="L987" i="41"/>
  <c r="L813" i="41"/>
  <c r="A495" i="41"/>
  <c r="L959" i="41"/>
  <c r="A611" i="41"/>
  <c r="A349" i="41"/>
  <c r="L349" i="41"/>
  <c r="A785" i="41"/>
  <c r="L843" i="41"/>
  <c r="L59" i="41"/>
  <c r="L175" i="41"/>
  <c r="L89" i="41"/>
  <c r="L871" i="41"/>
  <c r="L639" i="41"/>
  <c r="L31" i="41"/>
  <c r="A1017" i="41"/>
  <c r="L611" i="41"/>
  <c r="L553" i="41"/>
  <c r="L929" i="41"/>
  <c r="L669" i="41"/>
  <c r="L999" i="41"/>
  <c r="A59" i="41"/>
  <c r="A929" i="41"/>
  <c r="M46" i="13"/>
  <c r="N998" i="41"/>
  <c r="M47" i="13"/>
  <c r="M815" i="41"/>
  <c r="B989" i="41"/>
  <c r="M91" i="41"/>
  <c r="B265" i="41"/>
  <c r="B613" i="41"/>
  <c r="B525" i="41"/>
  <c r="M409" i="41"/>
  <c r="M439" i="41"/>
  <c r="M323" i="41"/>
  <c r="M207" i="41"/>
  <c r="M119" i="41"/>
  <c r="M149" i="41"/>
  <c r="B323" i="41"/>
  <c r="M265" i="41"/>
  <c r="B845" i="41"/>
  <c r="B149" i="41"/>
  <c r="B33" i="41"/>
  <c r="B91" i="41"/>
  <c r="B61" i="41"/>
  <c r="M989" i="41"/>
  <c r="M1019" i="41"/>
  <c r="B903" i="41"/>
  <c r="B787" i="41"/>
  <c r="M699" i="41"/>
  <c r="B729" i="41"/>
  <c r="B409" i="41"/>
  <c r="M351" i="41"/>
  <c r="M583" i="41"/>
  <c r="M641" i="41"/>
  <c r="M613" i="41"/>
  <c r="M671" i="41"/>
  <c r="B555" i="41"/>
  <c r="M757" i="41"/>
  <c r="M555" i="41"/>
  <c r="B757" i="41"/>
  <c r="A31" i="41"/>
  <c r="E56" i="38"/>
  <c r="F11" i="54"/>
  <c r="Q11" i="54"/>
  <c r="Z11" i="54"/>
  <c r="L901" i="41"/>
  <c r="F34" i="54"/>
  <c r="Q34" i="54"/>
  <c r="Z18" i="54"/>
  <c r="I42" i="54"/>
  <c r="A41" i="41"/>
  <c r="A52" i="41" s="1"/>
  <c r="M20" i="13"/>
  <c r="G17" i="13"/>
  <c r="L830" i="41"/>
  <c r="L828" i="41"/>
  <c r="L836" i="41" s="1"/>
  <c r="N829" i="41"/>
  <c r="L71" i="41"/>
  <c r="N163" i="41"/>
  <c r="L164" i="41"/>
  <c r="N70" i="41"/>
  <c r="L338" i="41"/>
  <c r="L1002" i="41"/>
  <c r="L1010" i="41" s="1"/>
  <c r="N1003" i="41"/>
  <c r="L1004" i="41"/>
  <c r="M49" i="13"/>
  <c r="G46" i="13"/>
  <c r="Z34" i="54"/>
  <c r="O34" i="54"/>
  <c r="M16" i="38"/>
  <c r="M21" i="38"/>
  <c r="AP20" i="38"/>
  <c r="AS20" i="38"/>
  <c r="A449" i="41"/>
  <c r="AE21" i="38"/>
  <c r="BL24" i="38"/>
  <c r="BW18" i="38" s="1"/>
  <c r="BT19" i="38" s="1"/>
  <c r="A331" i="41"/>
  <c r="A342" i="41" s="1"/>
  <c r="L452" i="41"/>
  <c r="L460" i="41" s="1"/>
  <c r="A43" i="41"/>
  <c r="N453" i="41"/>
  <c r="C332" i="41"/>
  <c r="BH21" i="38"/>
  <c r="BX19" i="38" s="1"/>
  <c r="BL52" i="38"/>
  <c r="CA48" i="38" s="1"/>
  <c r="BV50" i="38" s="1"/>
  <c r="AR51" i="38"/>
  <c r="BL49" i="38"/>
  <c r="CA47" i="38" s="1"/>
  <c r="AE51" i="38"/>
  <c r="BL50" i="38"/>
  <c r="BY48" i="38" s="1"/>
  <c r="BV49" i="38" s="1"/>
  <c r="A447" i="41"/>
  <c r="A458" i="41" s="1"/>
  <c r="AY22" i="38"/>
  <c r="AP22" i="38"/>
  <c r="AP26" i="38" s="1"/>
  <c r="BA22" i="38"/>
  <c r="AE22" i="38"/>
  <c r="AR22" i="38"/>
  <c r="AZ52" i="38"/>
  <c r="AE52" i="38"/>
  <c r="AS52" i="38"/>
  <c r="AQ52" i="38"/>
  <c r="BB52" i="38"/>
  <c r="AE49" i="38"/>
  <c r="AS49" i="38"/>
  <c r="AS55" i="38" s="1"/>
  <c r="AP49" i="38"/>
  <c r="AP55" i="38" s="1"/>
  <c r="AY49" i="38"/>
  <c r="BB49" i="38"/>
  <c r="BU49" i="38"/>
  <c r="AR26" i="38"/>
  <c r="BL22" i="38"/>
  <c r="BY18" i="38" s="1"/>
  <c r="BT20" i="38" s="1"/>
  <c r="CM20" i="38" s="1"/>
  <c r="CG20" i="38" s="1"/>
  <c r="AY20" i="38"/>
  <c r="AE20" i="38"/>
  <c r="BB25" i="38"/>
  <c r="AE25" i="38"/>
  <c r="BL51" i="38"/>
  <c r="BY47" i="38" s="1"/>
  <c r="CN47" i="38" s="1"/>
  <c r="BH25" i="38"/>
  <c r="BZ20" i="38" s="1"/>
  <c r="Z69" i="54"/>
  <c r="Q69" i="54"/>
  <c r="O69" i="54"/>
  <c r="F69" i="54"/>
  <c r="I69" i="54"/>
  <c r="BH20" i="38"/>
  <c r="BZ18" i="38" s="1"/>
  <c r="BA50" i="38"/>
  <c r="AQ50" i="38"/>
  <c r="AR50" i="38"/>
  <c r="AR55" i="38" s="1"/>
  <c r="BH54" i="38"/>
  <c r="BZ49" i="38" s="1"/>
  <c r="BL22" i="36"/>
  <c r="BY18" i="36" s="1"/>
  <c r="CI18" i="36" s="1"/>
  <c r="AY24" i="36"/>
  <c r="O42" i="54"/>
  <c r="L336" i="41"/>
  <c r="L344" i="41" s="1"/>
  <c r="I50" i="54"/>
  <c r="Q50" i="54"/>
  <c r="L280" i="41"/>
  <c r="L278" i="41"/>
  <c r="L286" i="41" s="1"/>
  <c r="Z42" i="54"/>
  <c r="Q42" i="54"/>
  <c r="Z50" i="54"/>
  <c r="N1033" i="41"/>
  <c r="L1032" i="41"/>
  <c r="L1040" i="41" s="1"/>
  <c r="G47" i="36"/>
  <c r="G49" i="36"/>
  <c r="AR21" i="36"/>
  <c r="BL21" i="36"/>
  <c r="BY19" i="36" s="1"/>
  <c r="BV20" i="36" s="1"/>
  <c r="G45" i="36"/>
  <c r="BL54" i="36"/>
  <c r="CA49" i="36" s="1"/>
  <c r="BX50" i="36" s="1"/>
  <c r="F50" i="54"/>
  <c r="AR22" i="36"/>
  <c r="AE22" i="36"/>
  <c r="C55" i="36"/>
  <c r="K55" i="36" s="1"/>
  <c r="AP22" i="36"/>
  <c r="AY22" i="36"/>
  <c r="BL53" i="36"/>
  <c r="BW47" i="36" s="1"/>
  <c r="BL25" i="36"/>
  <c r="CA20" i="36" s="1"/>
  <c r="BH23" i="36"/>
  <c r="BZ19" i="36" s="1"/>
  <c r="AQ50" i="36"/>
  <c r="BB54" i="36"/>
  <c r="F45" i="54"/>
  <c r="Q45" i="54"/>
  <c r="I45" i="54"/>
  <c r="Z45" i="54"/>
  <c r="O45" i="54"/>
  <c r="BH50" i="36"/>
  <c r="BX48" i="36" s="1"/>
  <c r="AS52" i="36"/>
  <c r="AE52" i="36"/>
  <c r="AQ52" i="36"/>
  <c r="AP24" i="36"/>
  <c r="AQ24" i="36"/>
  <c r="AQ26" i="36" s="1"/>
  <c r="AE24" i="36"/>
  <c r="AY51" i="36"/>
  <c r="AR51" i="36"/>
  <c r="AR55" i="36" s="1"/>
  <c r="BA51" i="36"/>
  <c r="AE51" i="36"/>
  <c r="AP51" i="36"/>
  <c r="BH49" i="36"/>
  <c r="BZ47" i="36" s="1"/>
  <c r="AE50" i="36"/>
  <c r="AS54" i="36"/>
  <c r="AZ50" i="36"/>
  <c r="AE54" i="36"/>
  <c r="CJ20" i="36"/>
  <c r="BH51" i="36"/>
  <c r="BX47" i="36" s="1"/>
  <c r="BH52" i="36"/>
  <c r="BZ48" i="36" s="1"/>
  <c r="BA21" i="36"/>
  <c r="AE21" i="36"/>
  <c r="BH24" i="36"/>
  <c r="BV18" i="36" s="1"/>
  <c r="AP49" i="36"/>
  <c r="AP55" i="36" s="1"/>
  <c r="AS49" i="36"/>
  <c r="AE49" i="36"/>
  <c r="AE53" i="36"/>
  <c r="AQ53" i="36"/>
  <c r="AQ50" i="34"/>
  <c r="AE52" i="34"/>
  <c r="AQ52" i="34"/>
  <c r="AR50" i="34"/>
  <c r="AR55" i="34" s="1"/>
  <c r="Z37" i="54"/>
  <c r="I37" i="54"/>
  <c r="A802" i="41"/>
  <c r="A800" i="41"/>
  <c r="A808" i="41" s="1"/>
  <c r="BY21" i="34"/>
  <c r="BB20" i="34"/>
  <c r="L1029" i="41"/>
  <c r="L1027" i="41"/>
  <c r="L1038" i="41" s="1"/>
  <c r="BL25" i="34"/>
  <c r="CA20" i="34" s="1"/>
  <c r="BX21" i="34" s="1"/>
  <c r="F37" i="54"/>
  <c r="BL50" i="34"/>
  <c r="BY48" i="34" s="1"/>
  <c r="BV49" i="34" s="1"/>
  <c r="O37" i="54"/>
  <c r="CJ20" i="34"/>
  <c r="AP20" i="34"/>
  <c r="AE20" i="34"/>
  <c r="AY20" i="34"/>
  <c r="BH53" i="34"/>
  <c r="BV47" i="34" s="1"/>
  <c r="BH51" i="34"/>
  <c r="BX47" i="34" s="1"/>
  <c r="M50" i="34"/>
  <c r="M48" i="34"/>
  <c r="M45" i="34"/>
  <c r="G16" i="34"/>
  <c r="G18" i="34"/>
  <c r="G20" i="34"/>
  <c r="BH54" i="34"/>
  <c r="BZ49" i="34" s="1"/>
  <c r="AP22" i="34"/>
  <c r="AR22" i="34"/>
  <c r="AY22" i="34"/>
  <c r="BA22" i="34"/>
  <c r="BH23" i="34"/>
  <c r="BZ19" i="34" s="1"/>
  <c r="C133" i="41"/>
  <c r="BH24" i="34"/>
  <c r="BV18" i="34" s="1"/>
  <c r="BH20" i="34"/>
  <c r="BZ18" i="34" s="1"/>
  <c r="BW49" i="34"/>
  <c r="AZ21" i="34"/>
  <c r="AQ21" i="34"/>
  <c r="BA21" i="34"/>
  <c r="AR21" i="34"/>
  <c r="BH22" i="34"/>
  <c r="BX18" i="34" s="1"/>
  <c r="AZ53" i="34"/>
  <c r="AP53" i="34"/>
  <c r="AY53" i="34"/>
  <c r="AQ53" i="34"/>
  <c r="AQ55" i="34" s="1"/>
  <c r="AE53" i="34"/>
  <c r="AS49" i="34"/>
  <c r="AS55" i="34" s="1"/>
  <c r="AE49" i="34"/>
  <c r="AY49" i="34"/>
  <c r="AP49" i="34"/>
  <c r="BB49" i="34"/>
  <c r="Z29" i="54"/>
  <c r="Q29" i="54"/>
  <c r="O29" i="54"/>
  <c r="I29" i="54"/>
  <c r="AZ24" i="34"/>
  <c r="AQ24" i="34"/>
  <c r="AY24" i="34"/>
  <c r="AP24" i="34"/>
  <c r="AS25" i="34"/>
  <c r="AR25" i="34"/>
  <c r="BA25" i="34"/>
  <c r="BB25" i="34"/>
  <c r="AE25" i="34"/>
  <c r="BH49" i="34"/>
  <c r="BZ47" i="34" s="1"/>
  <c r="Z26" i="54"/>
  <c r="F26" i="54"/>
  <c r="Q26" i="54"/>
  <c r="O26" i="54"/>
  <c r="I26" i="54"/>
  <c r="AQ23" i="34"/>
  <c r="AS23" i="34"/>
  <c r="AS26" i="34" s="1"/>
  <c r="BB23" i="34"/>
  <c r="AE23" i="34"/>
  <c r="AZ23" i="34"/>
  <c r="M16" i="34"/>
  <c r="M19" i="34"/>
  <c r="M21" i="34"/>
  <c r="BW20" i="34"/>
  <c r="CI20" i="34" s="1"/>
  <c r="CI19" i="34"/>
  <c r="CN19" i="34"/>
  <c r="AQ53" i="13"/>
  <c r="AE53" i="13"/>
  <c r="AP53" i="13"/>
  <c r="BL23" i="13"/>
  <c r="CA19" i="13" s="1"/>
  <c r="CO19" i="13" s="1"/>
  <c r="AY53" i="13"/>
  <c r="A134" i="41"/>
  <c r="A452" i="41"/>
  <c r="A460" i="41" s="1"/>
  <c r="C453" i="41"/>
  <c r="C57" i="36"/>
  <c r="K57" i="36" s="1"/>
  <c r="Q18" i="54"/>
  <c r="C56" i="34"/>
  <c r="M23" i="36"/>
  <c r="Y23" i="36" s="1"/>
  <c r="AB10" i="36" s="1"/>
  <c r="BE23" i="40" s="1"/>
  <c r="BD23" i="40" s="1"/>
  <c r="F18" i="54"/>
  <c r="C28" i="36"/>
  <c r="E28" i="36" s="1"/>
  <c r="A157" i="41"/>
  <c r="A168" i="41" s="1"/>
  <c r="C26" i="36"/>
  <c r="E26" i="36" s="1"/>
  <c r="O18" i="54"/>
  <c r="C25" i="36"/>
  <c r="J25" i="36" s="1"/>
  <c r="C158" i="41"/>
  <c r="AY49" i="13"/>
  <c r="AS49" i="13"/>
  <c r="AP49" i="13"/>
  <c r="BB49" i="13"/>
  <c r="G47" i="13"/>
  <c r="G49" i="13"/>
  <c r="G45" i="13"/>
  <c r="AE49" i="13"/>
  <c r="M52" i="13"/>
  <c r="Z52" i="13" s="1"/>
  <c r="AB40" i="13" s="1"/>
  <c r="BE12" i="40" s="1"/>
  <c r="BD12" i="40" s="1"/>
  <c r="C57" i="38"/>
  <c r="K57" i="38" s="1"/>
  <c r="A245" i="41"/>
  <c r="L185" i="41"/>
  <c r="L196" i="41" s="1"/>
  <c r="L187" i="41"/>
  <c r="N186" i="41"/>
  <c r="A18" i="41"/>
  <c r="A16" i="41"/>
  <c r="A24" i="41" s="1"/>
  <c r="A243" i="41"/>
  <c r="A254" i="41" s="1"/>
  <c r="C17" i="41"/>
  <c r="C54" i="38"/>
  <c r="K54" i="38" s="1"/>
  <c r="C418" i="41"/>
  <c r="A419" i="41"/>
  <c r="L192" i="41"/>
  <c r="L190" i="41"/>
  <c r="L198" i="41" s="1"/>
  <c r="M52" i="38"/>
  <c r="AA52" i="38" s="1"/>
  <c r="AB41" i="38" s="1"/>
  <c r="BE37" i="40" s="1"/>
  <c r="BD37" i="40" s="1"/>
  <c r="J56" i="38"/>
  <c r="C57" i="34"/>
  <c r="M52" i="34"/>
  <c r="C54" i="34"/>
  <c r="N100" i="41"/>
  <c r="L101" i="41"/>
  <c r="L99" i="41"/>
  <c r="L110" i="41" s="1"/>
  <c r="C55" i="38"/>
  <c r="E55" i="38" s="1"/>
  <c r="L18" i="41"/>
  <c r="N17" i="41"/>
  <c r="L16" i="41"/>
  <c r="L24" i="41" s="1"/>
  <c r="C54" i="36"/>
  <c r="C56" i="36"/>
  <c r="N133" i="41"/>
  <c r="L132" i="41"/>
  <c r="L140" i="41" s="1"/>
  <c r="L134" i="41"/>
  <c r="C128" i="41"/>
  <c r="A127" i="41"/>
  <c r="A138" i="41" s="1"/>
  <c r="A129" i="41"/>
  <c r="J55" i="34"/>
  <c r="E55" i="34"/>
  <c r="A275" i="41"/>
  <c r="A273" i="41"/>
  <c r="A284" i="41" s="1"/>
  <c r="C274" i="41"/>
  <c r="A533" i="41"/>
  <c r="A544" i="41" s="1"/>
  <c r="C534" i="41"/>
  <c r="A535" i="41"/>
  <c r="C54" i="13"/>
  <c r="C57" i="13"/>
  <c r="C55" i="13"/>
  <c r="A538" i="41"/>
  <c r="A546" i="41" s="1"/>
  <c r="A540" i="41"/>
  <c r="C539" i="41"/>
  <c r="AY20" i="13"/>
  <c r="AS20" i="13"/>
  <c r="AE20" i="13"/>
  <c r="BB20" i="13"/>
  <c r="AP20" i="13"/>
  <c r="BH21" i="13"/>
  <c r="BX19" i="13" s="1"/>
  <c r="Q21" i="54"/>
  <c r="F21" i="54"/>
  <c r="Z21" i="54"/>
  <c r="I21" i="54"/>
  <c r="O21" i="54"/>
  <c r="BH49" i="13"/>
  <c r="BZ47" i="13" s="1"/>
  <c r="C564" i="41"/>
  <c r="A563" i="41"/>
  <c r="A574" i="41" s="1"/>
  <c r="A565" i="41"/>
  <c r="C163" i="41"/>
  <c r="A164" i="41"/>
  <c r="A162" i="41"/>
  <c r="A170" i="41" s="1"/>
  <c r="N216" i="41"/>
  <c r="L215" i="41"/>
  <c r="L226" i="41" s="1"/>
  <c r="L217" i="41"/>
  <c r="Z52" i="38"/>
  <c r="AB40" i="38" s="1"/>
  <c r="BE36" i="40" s="1"/>
  <c r="BD36" i="40" s="1"/>
  <c r="L48" i="41"/>
  <c r="N47" i="41"/>
  <c r="L46" i="41"/>
  <c r="L54" i="41" s="1"/>
  <c r="L222" i="41"/>
  <c r="L220" i="41"/>
  <c r="L228" i="41" s="1"/>
  <c r="N221" i="41"/>
  <c r="BH20" i="13"/>
  <c r="BZ18" i="13" s="1"/>
  <c r="BH53" i="13"/>
  <c r="BV47" i="13" s="1"/>
  <c r="C27" i="34"/>
  <c r="M23" i="34"/>
  <c r="C25" i="34"/>
  <c r="C28" i="34"/>
  <c r="C26" i="34"/>
  <c r="AS23" i="13"/>
  <c r="AZ23" i="13"/>
  <c r="BB23" i="13"/>
  <c r="AE23" i="13"/>
  <c r="AQ23" i="13"/>
  <c r="M23" i="13"/>
  <c r="C28" i="13"/>
  <c r="C26" i="13"/>
  <c r="C27" i="13"/>
  <c r="C25" i="13"/>
  <c r="X52" i="13"/>
  <c r="AB38" i="13" s="1"/>
  <c r="BE10" i="40" s="1"/>
  <c r="BD10" i="40" s="1"/>
  <c r="N307" i="41"/>
  <c r="L308" i="41"/>
  <c r="L306" i="41"/>
  <c r="L314" i="41" s="1"/>
  <c r="C423" i="41"/>
  <c r="A422" i="41"/>
  <c r="A430" i="41" s="1"/>
  <c r="A424" i="41"/>
  <c r="C191" i="41"/>
  <c r="A192" i="41"/>
  <c r="A190" i="41"/>
  <c r="A198" i="41" s="1"/>
  <c r="A11" i="41"/>
  <c r="A22" i="41" s="1"/>
  <c r="A13" i="41"/>
  <c r="C12" i="41"/>
  <c r="M50" i="13"/>
  <c r="M48" i="13"/>
  <c r="M45" i="13"/>
  <c r="AZ52" i="13"/>
  <c r="AS52" i="13"/>
  <c r="BB52" i="13"/>
  <c r="AE52" i="13"/>
  <c r="AQ52" i="13"/>
  <c r="C26" i="38"/>
  <c r="C25" i="38"/>
  <c r="M23" i="38"/>
  <c r="C28" i="38"/>
  <c r="C27" i="38"/>
  <c r="A69" i="41"/>
  <c r="A80" i="41" s="1"/>
  <c r="C70" i="41"/>
  <c r="A71" i="41"/>
  <c r="AY24" i="13"/>
  <c r="AE24" i="13"/>
  <c r="AQ24" i="13"/>
  <c r="AP24" i="13"/>
  <c r="AZ24" i="13"/>
  <c r="BH25" i="13"/>
  <c r="BZ20" i="13" s="1"/>
  <c r="AE50" i="13"/>
  <c r="BA50" i="13"/>
  <c r="AQ50" i="13"/>
  <c r="AQ55" i="13" s="1"/>
  <c r="AR50" i="13"/>
  <c r="AZ50" i="13"/>
  <c r="BA22" i="13"/>
  <c r="AR22" i="13"/>
  <c r="AP22" i="13"/>
  <c r="AY22" i="13"/>
  <c r="AE22" i="13"/>
  <c r="N418" i="41"/>
  <c r="L419" i="41"/>
  <c r="L417" i="41"/>
  <c r="L428" i="41" s="1"/>
  <c r="E56" i="13"/>
  <c r="J56" i="13"/>
  <c r="K56" i="13"/>
  <c r="BA51" i="13"/>
  <c r="AE51" i="13"/>
  <c r="AR51" i="13"/>
  <c r="AP51" i="13"/>
  <c r="AP55" i="13" s="1"/>
  <c r="AY51" i="13"/>
  <c r="C47" i="41"/>
  <c r="A48" i="41"/>
  <c r="A46" i="41"/>
  <c r="A54" i="41" s="1"/>
  <c r="E27" i="36"/>
  <c r="K27" i="36"/>
  <c r="J27" i="36"/>
  <c r="L563" i="41"/>
  <c r="L574" i="41" s="1"/>
  <c r="L565" i="41"/>
  <c r="N564" i="41"/>
  <c r="BH22" i="13"/>
  <c r="BX18" i="13" s="1"/>
  <c r="Z52" i="36"/>
  <c r="AB40" i="36" s="1"/>
  <c r="BE28" i="40" s="1"/>
  <c r="BD28" i="40" s="1"/>
  <c r="X52" i="36"/>
  <c r="AB38" i="36" s="1"/>
  <c r="BE26" i="40" s="1"/>
  <c r="BD26" i="40" s="1"/>
  <c r="Y52" i="36"/>
  <c r="AB39" i="36" s="1"/>
  <c r="BE27" i="40" s="1"/>
  <c r="BD27" i="40" s="1"/>
  <c r="AA52" i="36"/>
  <c r="AB41" i="36" s="1"/>
  <c r="BE29" i="40" s="1"/>
  <c r="BD29" i="40" s="1"/>
  <c r="A185" i="41"/>
  <c r="A196" i="41" s="1"/>
  <c r="A187" i="41"/>
  <c r="C186" i="41"/>
  <c r="BH24" i="13"/>
  <c r="BV18" i="13" s="1"/>
  <c r="BH50" i="13"/>
  <c r="BX48" i="13" s="1"/>
  <c r="L13" i="41"/>
  <c r="N12" i="41"/>
  <c r="L11" i="41"/>
  <c r="L22" i="41" s="1"/>
  <c r="AQ21" i="13"/>
  <c r="AZ21" i="13"/>
  <c r="AR21" i="13"/>
  <c r="AR26" i="13" s="1"/>
  <c r="BA21" i="13"/>
  <c r="AE21" i="13"/>
  <c r="CJ19" i="13"/>
  <c r="BL51" i="13"/>
  <c r="BY47" i="13" s="1"/>
  <c r="BT49" i="13" s="1"/>
  <c r="BX47" i="13"/>
  <c r="BH52" i="13"/>
  <c r="BZ48" i="13" s="1"/>
  <c r="BH23" i="38"/>
  <c r="BZ19" i="38" s="1"/>
  <c r="N622" i="41"/>
  <c r="L623" i="41"/>
  <c r="L621" i="41"/>
  <c r="L632" i="41" s="1"/>
  <c r="M48" i="36"/>
  <c r="M50" i="36"/>
  <c r="M45" i="36"/>
  <c r="G18" i="13"/>
  <c r="G16" i="13"/>
  <c r="G20" i="13"/>
  <c r="BB20" i="36"/>
  <c r="AS20" i="36"/>
  <c r="AP20" i="36"/>
  <c r="AE20" i="36"/>
  <c r="AY20" i="36"/>
  <c r="BW20" i="36"/>
  <c r="CN18" i="38"/>
  <c r="CN48" i="38"/>
  <c r="BW49" i="38"/>
  <c r="CI49" i="38" s="1"/>
  <c r="CI48" i="38"/>
  <c r="CO21" i="34"/>
  <c r="BT20" i="36"/>
  <c r="CN18" i="36"/>
  <c r="BU48" i="38"/>
  <c r="CM48" i="38" s="1"/>
  <c r="CG48" i="38" s="1"/>
  <c r="CH47" i="38"/>
  <c r="CF47" i="38" s="1"/>
  <c r="CM47" i="38"/>
  <c r="CG47" i="38" s="1"/>
  <c r="AW75" i="40"/>
  <c r="J60" i="53"/>
  <c r="E988" i="41"/>
  <c r="Q68" i="54"/>
  <c r="F68" i="54"/>
  <c r="Z68" i="54"/>
  <c r="I68" i="54"/>
  <c r="O68" i="54"/>
  <c r="BH20" i="36"/>
  <c r="BZ18" i="36" s="1"/>
  <c r="BH52" i="34"/>
  <c r="BZ48" i="34" s="1"/>
  <c r="CH18" i="38"/>
  <c r="CF18" i="38" s="1"/>
  <c r="BU19" i="38"/>
  <c r="CM19" i="38" s="1"/>
  <c r="CG19" i="38" s="1"/>
  <c r="CM18" i="38"/>
  <c r="CG18" i="38" s="1"/>
  <c r="P872" i="41"/>
  <c r="F61" i="53"/>
  <c r="A75" i="40"/>
  <c r="CM47" i="36"/>
  <c r="CG47" i="36" s="1"/>
  <c r="BT48" i="36"/>
  <c r="CH47" i="36"/>
  <c r="CF47" i="36" s="1"/>
  <c r="AS26" i="38"/>
  <c r="M19" i="13"/>
  <c r="M21" i="13"/>
  <c r="M16" i="13"/>
  <c r="L739" i="41"/>
  <c r="L737" i="41"/>
  <c r="L748" i="41" s="1"/>
  <c r="N738" i="41"/>
  <c r="BY50" i="36"/>
  <c r="CO50" i="36" s="1"/>
  <c r="CJ49" i="36"/>
  <c r="CO49" i="36"/>
  <c r="BH54" i="13"/>
  <c r="BZ49" i="13" s="1"/>
  <c r="CI18" i="38"/>
  <c r="BW50" i="38"/>
  <c r="CN50" i="38" s="1"/>
  <c r="CO48" i="38"/>
  <c r="CJ48" i="38"/>
  <c r="AE25" i="36"/>
  <c r="AR25" i="36"/>
  <c r="BA25" i="36"/>
  <c r="AS25" i="36"/>
  <c r="BB25" i="36"/>
  <c r="M46" i="38"/>
  <c r="G50" i="38"/>
  <c r="M47" i="38"/>
  <c r="M17" i="38"/>
  <c r="M18" i="38"/>
  <c r="G21" i="38"/>
  <c r="I60" i="54"/>
  <c r="O60" i="54"/>
  <c r="Q60" i="54"/>
  <c r="Z60" i="54"/>
  <c r="F60" i="54"/>
  <c r="F13" i="54"/>
  <c r="Z13" i="54"/>
  <c r="O13" i="54"/>
  <c r="I13" i="54"/>
  <c r="Q13" i="54"/>
  <c r="I10" i="54"/>
  <c r="O10" i="54"/>
  <c r="Q10" i="54"/>
  <c r="F10" i="54"/>
  <c r="Z10" i="54"/>
  <c r="AR54" i="13"/>
  <c r="AE54" i="13"/>
  <c r="AS54" i="13"/>
  <c r="BA54" i="13"/>
  <c r="BB54" i="13"/>
  <c r="CN49" i="38"/>
  <c r="F50" i="53"/>
  <c r="P640" i="41"/>
  <c r="J55" i="36" l="1"/>
  <c r="E55" i="36"/>
  <c r="CH20" i="38"/>
  <c r="CF20" i="38" s="1"/>
  <c r="BW20" i="38"/>
  <c r="BL21" i="38"/>
  <c r="BY19" i="38" s="1"/>
  <c r="BL54" i="38"/>
  <c r="CA49" i="38" s="1"/>
  <c r="BX50" i="38" s="1"/>
  <c r="CJ47" i="38"/>
  <c r="CO47" i="38"/>
  <c r="BT50" i="38"/>
  <c r="BL25" i="38"/>
  <c r="CA20" i="38" s="1"/>
  <c r="BX21" i="38" s="1"/>
  <c r="BU21" i="38"/>
  <c r="BY21" i="38"/>
  <c r="CI47" i="38"/>
  <c r="BT49" i="38"/>
  <c r="BY50" i="38"/>
  <c r="CJ50" i="38" s="1"/>
  <c r="CO49" i="38"/>
  <c r="CJ49" i="38"/>
  <c r="BL20" i="38"/>
  <c r="CA18" i="38" s="1"/>
  <c r="BT21" i="38" s="1"/>
  <c r="AQ55" i="38"/>
  <c r="J28" i="36"/>
  <c r="CI19" i="36"/>
  <c r="AR26" i="36"/>
  <c r="BL20" i="36"/>
  <c r="CA18" i="36" s="1"/>
  <c r="BT21" i="36" s="1"/>
  <c r="CN19" i="36"/>
  <c r="CI20" i="36"/>
  <c r="BL51" i="36"/>
  <c r="BY47" i="36" s="1"/>
  <c r="BT49" i="36" s="1"/>
  <c r="CO20" i="36"/>
  <c r="BX21" i="36"/>
  <c r="AP26" i="36"/>
  <c r="BL24" i="36"/>
  <c r="BW18" i="36" s="1"/>
  <c r="BT19" i="36" s="1"/>
  <c r="BU50" i="36"/>
  <c r="CN20" i="36"/>
  <c r="BU19" i="36"/>
  <c r="CM18" i="36"/>
  <c r="CG18" i="36" s="1"/>
  <c r="BU49" i="36"/>
  <c r="CM49" i="36" s="1"/>
  <c r="CG49" i="36" s="1"/>
  <c r="CI47" i="36"/>
  <c r="CN47" i="36"/>
  <c r="BL49" i="36"/>
  <c r="CA47" i="36" s="1"/>
  <c r="BT50" i="36" s="1"/>
  <c r="BW49" i="36"/>
  <c r="AQ55" i="36"/>
  <c r="AA23" i="36"/>
  <c r="AB12" i="36" s="1"/>
  <c r="BE25" i="40" s="1"/>
  <c r="BD25" i="40" s="1"/>
  <c r="AS55" i="36"/>
  <c r="BL52" i="36"/>
  <c r="CA48" i="36" s="1"/>
  <c r="BV50" i="36" s="1"/>
  <c r="BL50" i="36"/>
  <c r="BY48" i="36" s="1"/>
  <c r="BW21" i="36"/>
  <c r="BW50" i="36"/>
  <c r="BL23" i="36"/>
  <c r="CA19" i="36" s="1"/>
  <c r="BV21" i="36" s="1"/>
  <c r="AP55" i="34"/>
  <c r="CI48" i="34"/>
  <c r="CO20" i="34"/>
  <c r="CN48" i="34"/>
  <c r="CJ21" i="34"/>
  <c r="BL22" i="34"/>
  <c r="BY18" i="34" s="1"/>
  <c r="BT20" i="34" s="1"/>
  <c r="AQ26" i="34"/>
  <c r="BL53" i="34"/>
  <c r="BW47" i="34" s="1"/>
  <c r="CM47" i="34" s="1"/>
  <c r="CG47" i="34" s="1"/>
  <c r="BL49" i="34"/>
  <c r="CA47" i="34" s="1"/>
  <c r="BT50" i="34" s="1"/>
  <c r="CN20" i="34"/>
  <c r="BL54" i="34"/>
  <c r="CA49" i="34" s="1"/>
  <c r="BX50" i="34" s="1"/>
  <c r="BL51" i="34"/>
  <c r="BY47" i="34" s="1"/>
  <c r="BT49" i="34" s="1"/>
  <c r="BW21" i="34"/>
  <c r="BU50" i="34"/>
  <c r="CH50" i="34" s="1"/>
  <c r="CF50" i="34" s="1"/>
  <c r="CO47" i="34"/>
  <c r="CI18" i="34"/>
  <c r="CN18" i="34"/>
  <c r="BU20" i="34"/>
  <c r="CM20" i="34" s="1"/>
  <c r="CG20" i="34" s="1"/>
  <c r="BL24" i="34"/>
  <c r="BW18" i="34" s="1"/>
  <c r="BT19" i="34" s="1"/>
  <c r="CJ49" i="34"/>
  <c r="BY50" i="34"/>
  <c r="CJ50" i="34" s="1"/>
  <c r="BU49" i="34"/>
  <c r="BU19" i="34"/>
  <c r="BT48" i="34"/>
  <c r="AR26" i="34"/>
  <c r="BL20" i="34"/>
  <c r="CA18" i="34" s="1"/>
  <c r="BT21" i="34" s="1"/>
  <c r="CO50" i="34"/>
  <c r="CI49" i="34"/>
  <c r="CN49" i="34"/>
  <c r="BU21" i="34"/>
  <c r="BL23" i="34"/>
  <c r="CA19" i="34" s="1"/>
  <c r="BV21" i="34" s="1"/>
  <c r="BU48" i="34"/>
  <c r="AP26" i="34"/>
  <c r="BV21" i="13"/>
  <c r="BL22" i="13"/>
  <c r="BY18" i="13" s="1"/>
  <c r="BT20" i="13" s="1"/>
  <c r="BL25" i="13"/>
  <c r="CA20" i="13" s="1"/>
  <c r="BX21" i="13" s="1"/>
  <c r="AS55" i="13"/>
  <c r="BL20" i="13"/>
  <c r="CA18" i="13" s="1"/>
  <c r="BT21" i="13" s="1"/>
  <c r="E57" i="36"/>
  <c r="BL53" i="13"/>
  <c r="BW47" i="13" s="1"/>
  <c r="BT48" i="13" s="1"/>
  <c r="J57" i="36"/>
  <c r="E57" i="38"/>
  <c r="J57" i="38"/>
  <c r="K28" i="36"/>
  <c r="K55" i="38"/>
  <c r="Z23" i="36"/>
  <c r="AB11" i="36" s="1"/>
  <c r="BE24" i="40" s="1"/>
  <c r="BD24" i="40" s="1"/>
  <c r="K26" i="36"/>
  <c r="AA52" i="13"/>
  <c r="AB41" i="13" s="1"/>
  <c r="BE13" i="40" s="1"/>
  <c r="BD13" i="40" s="1"/>
  <c r="X52" i="38"/>
  <c r="AB38" i="38" s="1"/>
  <c r="BE34" i="40" s="1"/>
  <c r="BD34" i="40" s="1"/>
  <c r="E56" i="34"/>
  <c r="J56" i="34"/>
  <c r="K56" i="34"/>
  <c r="J55" i="38"/>
  <c r="X23" i="36"/>
  <c r="AB9" i="36" s="1"/>
  <c r="BE22" i="40" s="1"/>
  <c r="BD22" i="40" s="1"/>
  <c r="J26" i="36"/>
  <c r="Y52" i="13"/>
  <c r="AB39" i="13" s="1"/>
  <c r="BE11" i="40" s="1"/>
  <c r="BD11" i="40" s="1"/>
  <c r="Y52" i="38"/>
  <c r="AB39" i="38" s="1"/>
  <c r="BE35" i="40" s="1"/>
  <c r="BD35" i="40" s="1"/>
  <c r="AR55" i="13"/>
  <c r="E25" i="36"/>
  <c r="K25" i="36"/>
  <c r="BL50" i="13"/>
  <c r="BY48" i="13" s="1"/>
  <c r="BV49" i="13" s="1"/>
  <c r="BL21" i="13"/>
  <c r="BY19" i="13" s="1"/>
  <c r="BV20" i="13" s="1"/>
  <c r="J54" i="38"/>
  <c r="E54" i="38"/>
  <c r="E56" i="36"/>
  <c r="J56" i="36"/>
  <c r="K56" i="36"/>
  <c r="K57" i="34"/>
  <c r="E57" i="34"/>
  <c r="J57" i="34"/>
  <c r="K54" i="36"/>
  <c r="E54" i="36"/>
  <c r="J54" i="36"/>
  <c r="J54" i="34"/>
  <c r="E54" i="34"/>
  <c r="K54" i="34"/>
  <c r="Y52" i="34"/>
  <c r="AB39" i="34" s="1"/>
  <c r="BE19" i="40" s="1"/>
  <c r="BD19" i="40" s="1"/>
  <c r="Z52" i="34"/>
  <c r="AB40" i="34" s="1"/>
  <c r="BE20" i="40" s="1"/>
  <c r="BD20" i="40" s="1"/>
  <c r="X52" i="34"/>
  <c r="AB38" i="34" s="1"/>
  <c r="BE18" i="40" s="1"/>
  <c r="BD18" i="40" s="1"/>
  <c r="AA52" i="34"/>
  <c r="AB41" i="34" s="1"/>
  <c r="BE21" i="40" s="1"/>
  <c r="BD21" i="40" s="1"/>
  <c r="J55" i="13"/>
  <c r="E55" i="13"/>
  <c r="K55" i="13"/>
  <c r="J57" i="13"/>
  <c r="K57" i="13"/>
  <c r="E57" i="13"/>
  <c r="K54" i="13"/>
  <c r="J54" i="13"/>
  <c r="E54" i="13"/>
  <c r="CI21" i="13"/>
  <c r="CN21" i="13"/>
  <c r="J27" i="38"/>
  <c r="E27" i="38"/>
  <c r="K27" i="38"/>
  <c r="J28" i="13"/>
  <c r="K28" i="13"/>
  <c r="E28" i="13"/>
  <c r="K28" i="34"/>
  <c r="E28" i="34"/>
  <c r="J28" i="34"/>
  <c r="AQ26" i="13"/>
  <c r="BU20" i="13"/>
  <c r="CM20" i="13" s="1"/>
  <c r="CG20" i="13" s="1"/>
  <c r="CN18" i="13"/>
  <c r="CI18" i="13"/>
  <c r="BY21" i="13"/>
  <c r="CJ21" i="13" s="1"/>
  <c r="CO20" i="13"/>
  <c r="CJ20" i="13"/>
  <c r="K28" i="38"/>
  <c r="J28" i="38"/>
  <c r="E28" i="38"/>
  <c r="K25" i="13"/>
  <c r="J25" i="13"/>
  <c r="E25" i="13"/>
  <c r="AA23" i="13"/>
  <c r="AB12" i="13" s="1"/>
  <c r="BE9" i="40" s="1"/>
  <c r="BD9" i="40" s="1"/>
  <c r="X23" i="13"/>
  <c r="AB9" i="13" s="1"/>
  <c r="BE6" i="40" s="1"/>
  <c r="BD6" i="40" s="1"/>
  <c r="Z23" i="13"/>
  <c r="AB11" i="13" s="1"/>
  <c r="BE8" i="40" s="1"/>
  <c r="BD8" i="40" s="1"/>
  <c r="Y23" i="13"/>
  <c r="AB10" i="13" s="1"/>
  <c r="BE7" i="40" s="1"/>
  <c r="BD7" i="40" s="1"/>
  <c r="J25" i="34"/>
  <c r="E25" i="34"/>
  <c r="K25" i="34"/>
  <c r="BU48" i="13"/>
  <c r="E26" i="38"/>
  <c r="K26" i="38"/>
  <c r="J26" i="38"/>
  <c r="BU50" i="13"/>
  <c r="AP26" i="13"/>
  <c r="BL52" i="13"/>
  <c r="CA48" i="13" s="1"/>
  <c r="BV50" i="13" s="1"/>
  <c r="BW49" i="13"/>
  <c r="Z23" i="38"/>
  <c r="AB11" i="38" s="1"/>
  <c r="BE32" i="40" s="1"/>
  <c r="BD32" i="40" s="1"/>
  <c r="Y23" i="38"/>
  <c r="AB10" i="38" s="1"/>
  <c r="BE31" i="40" s="1"/>
  <c r="BD31" i="40" s="1"/>
  <c r="AA23" i="38"/>
  <c r="AB12" i="38" s="1"/>
  <c r="BE33" i="40" s="1"/>
  <c r="BD33" i="40" s="1"/>
  <c r="X23" i="38"/>
  <c r="AB9" i="38" s="1"/>
  <c r="BE30" i="40" s="1"/>
  <c r="BD30" i="40" s="1"/>
  <c r="K27" i="13"/>
  <c r="E27" i="13"/>
  <c r="J27" i="13"/>
  <c r="AA23" i="34"/>
  <c r="AB12" i="34" s="1"/>
  <c r="BE17" i="40" s="1"/>
  <c r="BD17" i="40" s="1"/>
  <c r="Y23" i="34"/>
  <c r="AB10" i="34" s="1"/>
  <c r="BE15" i="40" s="1"/>
  <c r="BD15" i="40" s="1"/>
  <c r="Z23" i="34"/>
  <c r="AB11" i="34" s="1"/>
  <c r="BE16" i="40" s="1"/>
  <c r="BD16" i="40" s="1"/>
  <c r="X23" i="34"/>
  <c r="AB9" i="34" s="1"/>
  <c r="BE14" i="40" s="1"/>
  <c r="BD14" i="40" s="1"/>
  <c r="BU21" i="13"/>
  <c r="CM21" i="13" s="1"/>
  <c r="CG21" i="13" s="1"/>
  <c r="CJ18" i="13"/>
  <c r="CO18" i="13"/>
  <c r="CN19" i="13"/>
  <c r="CI19" i="13"/>
  <c r="BW20" i="13"/>
  <c r="CI20" i="13" s="1"/>
  <c r="BU49" i="13"/>
  <c r="CH49" i="13" s="1"/>
  <c r="CF49" i="13" s="1"/>
  <c r="CI47" i="13"/>
  <c r="CN47" i="13"/>
  <c r="BU19" i="13"/>
  <c r="BW50" i="13"/>
  <c r="CO48" i="13"/>
  <c r="BL24" i="13"/>
  <c r="BW18" i="13" s="1"/>
  <c r="BT19" i="13" s="1"/>
  <c r="J25" i="38"/>
  <c r="K25" i="38"/>
  <c r="E25" i="38"/>
  <c r="K26" i="13"/>
  <c r="E26" i="13"/>
  <c r="J26" i="13"/>
  <c r="J26" i="34"/>
  <c r="K26" i="34"/>
  <c r="E26" i="34"/>
  <c r="K27" i="34"/>
  <c r="J27" i="34"/>
  <c r="E27" i="34"/>
  <c r="BL49" i="13"/>
  <c r="CA47" i="13" s="1"/>
  <c r="BT50" i="13" s="1"/>
  <c r="CN20" i="13"/>
  <c r="AS26" i="13"/>
  <c r="F75" i="40"/>
  <c r="F51" i="53"/>
  <c r="P670" i="41" s="1"/>
  <c r="E670" i="41"/>
  <c r="AY11" i="38"/>
  <c r="CS20" i="38"/>
  <c r="CX20" i="38" s="1"/>
  <c r="CZ20" i="38"/>
  <c r="DE20" i="38" s="1"/>
  <c r="BA11" i="38" s="1"/>
  <c r="EP20" i="38"/>
  <c r="EU20" i="38" s="1"/>
  <c r="EI20" i="38"/>
  <c r="EN20" i="38" s="1"/>
  <c r="CI50" i="38"/>
  <c r="CJ50" i="36"/>
  <c r="AY38" i="38"/>
  <c r="CH19" i="38"/>
  <c r="CF19" i="38" s="1"/>
  <c r="EQ20" i="38" s="1"/>
  <c r="AS26" i="36"/>
  <c r="CH48" i="38"/>
  <c r="CF48" i="38" s="1"/>
  <c r="BL52" i="34"/>
  <c r="CA48" i="34" s="1"/>
  <c r="BV50" i="34" s="1"/>
  <c r="CO18" i="36"/>
  <c r="BU21" i="36"/>
  <c r="J61" i="53"/>
  <c r="P988" i="41"/>
  <c r="AC75" i="40"/>
  <c r="BL54" i="13"/>
  <c r="CA49" i="13" s="1"/>
  <c r="BX50" i="13" s="1"/>
  <c r="AY38" i="36"/>
  <c r="E902" i="41"/>
  <c r="F62" i="53"/>
  <c r="P902" i="41" s="1"/>
  <c r="AY9" i="38"/>
  <c r="ER18" i="38"/>
  <c r="DB18" i="38"/>
  <c r="EJ18" i="38"/>
  <c r="EN18" i="38" s="1"/>
  <c r="EK18" i="38"/>
  <c r="CU18" i="38"/>
  <c r="BW50" i="34"/>
  <c r="BL23" i="38"/>
  <c r="CA19" i="38" s="1"/>
  <c r="BV21" i="38" s="1"/>
  <c r="BY50" i="13"/>
  <c r="CH48" i="36"/>
  <c r="CF48" i="36" s="1"/>
  <c r="DA47" i="36" s="1"/>
  <c r="DE47" i="36" s="1"/>
  <c r="BA38" i="36" s="1"/>
  <c r="CM48" i="36"/>
  <c r="CG48" i="36" s="1"/>
  <c r="CH20" i="36"/>
  <c r="CF20" i="36" s="1"/>
  <c r="CM20" i="36"/>
  <c r="CG20" i="36" s="1"/>
  <c r="CJ19" i="38"/>
  <c r="BW21" i="38"/>
  <c r="CJ20" i="38" l="1"/>
  <c r="CO20" i="38"/>
  <c r="BV20" i="38"/>
  <c r="CN20" i="38" s="1"/>
  <c r="CN19" i="38"/>
  <c r="DA18" i="38"/>
  <c r="DE18" i="38" s="1"/>
  <c r="BA9" i="38" s="1"/>
  <c r="ED18" i="38" s="1"/>
  <c r="CI20" i="38"/>
  <c r="CO50" i="38"/>
  <c r="CI19" i="38"/>
  <c r="CH50" i="38"/>
  <c r="CF50" i="38" s="1"/>
  <c r="EJ50" i="38" s="1"/>
  <c r="CM50" i="38"/>
  <c r="CG50" i="38" s="1"/>
  <c r="CT18" i="38"/>
  <c r="CX18" i="38" s="1"/>
  <c r="CO19" i="38"/>
  <c r="EQ18" i="38"/>
  <c r="EU18" i="38" s="1"/>
  <c r="EP23" i="38" s="1"/>
  <c r="CM21" i="38"/>
  <c r="CG21" i="38" s="1"/>
  <c r="CH21" i="38"/>
  <c r="CF21" i="38" s="1"/>
  <c r="DC19" i="38" s="1"/>
  <c r="CM49" i="38"/>
  <c r="CG49" i="38" s="1"/>
  <c r="CH49" i="38"/>
  <c r="CF49" i="38" s="1"/>
  <c r="ER48" i="38" s="1"/>
  <c r="CJ18" i="38"/>
  <c r="CO18" i="38"/>
  <c r="CO21" i="38"/>
  <c r="CJ21" i="38"/>
  <c r="CJ48" i="36"/>
  <c r="CJ18" i="36"/>
  <c r="CM21" i="36"/>
  <c r="CG21" i="36" s="1"/>
  <c r="CH21" i="36"/>
  <c r="CF21" i="36" s="1"/>
  <c r="CV18" i="36" s="1"/>
  <c r="CM19" i="36"/>
  <c r="CG19" i="36" s="1"/>
  <c r="CH49" i="36"/>
  <c r="CF49" i="36" s="1"/>
  <c r="CH18" i="36"/>
  <c r="CF18" i="36" s="1"/>
  <c r="AY9" i="36" s="1"/>
  <c r="CJ47" i="36"/>
  <c r="CO21" i="36"/>
  <c r="CJ21" i="36"/>
  <c r="CJ19" i="36"/>
  <c r="CO48" i="36"/>
  <c r="CI48" i="36"/>
  <c r="BV49" i="36"/>
  <c r="CN48" i="36"/>
  <c r="CH19" i="36"/>
  <c r="CF19" i="36" s="1"/>
  <c r="ES19" i="36" s="1"/>
  <c r="CI21" i="36"/>
  <c r="CN21" i="36"/>
  <c r="CO19" i="36"/>
  <c r="CI50" i="36"/>
  <c r="CN50" i="36"/>
  <c r="CH50" i="36"/>
  <c r="CF50" i="36" s="1"/>
  <c r="CM50" i="36"/>
  <c r="CG50" i="36" s="1"/>
  <c r="CO47" i="36"/>
  <c r="CJ18" i="34"/>
  <c r="CJ48" i="34"/>
  <c r="CN47" i="34"/>
  <c r="CH47" i="34"/>
  <c r="CF47" i="34" s="1"/>
  <c r="CZ50" i="34" s="1"/>
  <c r="DE50" i="34" s="1"/>
  <c r="BA41" i="34" s="1"/>
  <c r="CO18" i="34"/>
  <c r="CI47" i="34"/>
  <c r="CM49" i="34"/>
  <c r="CG49" i="34" s="1"/>
  <c r="CO48" i="34"/>
  <c r="CM50" i="34"/>
  <c r="CG50" i="34" s="1"/>
  <c r="CJ47" i="34"/>
  <c r="CO49" i="34"/>
  <c r="CO19" i="34"/>
  <c r="AY41" i="34"/>
  <c r="AY38" i="34"/>
  <c r="DC47" i="34"/>
  <c r="CH49" i="34"/>
  <c r="CF49" i="34" s="1"/>
  <c r="ER50" i="34" s="1"/>
  <c r="CH21" i="34"/>
  <c r="CF21" i="34" s="1"/>
  <c r="CM21" i="34"/>
  <c r="CG21" i="34" s="1"/>
  <c r="CM18" i="34"/>
  <c r="CG18" i="34" s="1"/>
  <c r="CH19" i="34"/>
  <c r="CF19" i="34" s="1"/>
  <c r="CM19" i="34"/>
  <c r="CG19" i="34" s="1"/>
  <c r="CH20" i="34"/>
  <c r="CF20" i="34" s="1"/>
  <c r="CN21" i="34"/>
  <c r="CI21" i="34"/>
  <c r="CM48" i="34"/>
  <c r="CG48" i="34" s="1"/>
  <c r="CH48" i="34"/>
  <c r="CF48" i="34" s="1"/>
  <c r="EJ50" i="34" s="1"/>
  <c r="CH18" i="34"/>
  <c r="CF18" i="34" s="1"/>
  <c r="CJ19" i="34"/>
  <c r="CJ48" i="13"/>
  <c r="CI48" i="13"/>
  <c r="CO47" i="13"/>
  <c r="CM47" i="13"/>
  <c r="CG47" i="13" s="1"/>
  <c r="CH21" i="13"/>
  <c r="CF21" i="13" s="1"/>
  <c r="CH47" i="13"/>
  <c r="CF47" i="13" s="1"/>
  <c r="CS49" i="13" s="1"/>
  <c r="CX49" i="13" s="1"/>
  <c r="CM48" i="13"/>
  <c r="CG48" i="13" s="1"/>
  <c r="CN49" i="13"/>
  <c r="CH48" i="13"/>
  <c r="CF48" i="13" s="1"/>
  <c r="CT49" i="13" s="1"/>
  <c r="CN48" i="13"/>
  <c r="AY40" i="13"/>
  <c r="CZ49" i="13"/>
  <c r="DE49" i="13" s="1"/>
  <c r="BA40" i="13" s="1"/>
  <c r="EP49" i="13"/>
  <c r="EU49" i="13" s="1"/>
  <c r="EI49" i="13"/>
  <c r="EN49" i="13" s="1"/>
  <c r="EQ49" i="13"/>
  <c r="EJ49" i="13"/>
  <c r="DA49" i="13"/>
  <c r="CH19" i="13"/>
  <c r="CF19" i="13" s="1"/>
  <c r="CM19" i="13"/>
  <c r="CG19" i="13" s="1"/>
  <c r="AY39" i="13"/>
  <c r="EP48" i="13"/>
  <c r="EU48" i="13" s="1"/>
  <c r="CS48" i="13"/>
  <c r="CX48" i="13" s="1"/>
  <c r="CU48" i="13"/>
  <c r="ER48" i="13"/>
  <c r="EK48" i="13"/>
  <c r="EI48" i="13"/>
  <c r="EN48" i="13" s="1"/>
  <c r="CZ48" i="13"/>
  <c r="DE48" i="13" s="1"/>
  <c r="BA39" i="13" s="1"/>
  <c r="DB48" i="13"/>
  <c r="CJ49" i="13"/>
  <c r="CH50" i="13"/>
  <c r="CF50" i="13" s="1"/>
  <c r="CV49" i="13" s="1"/>
  <c r="CM50" i="13"/>
  <c r="CG50" i="13" s="1"/>
  <c r="CJ47" i="13"/>
  <c r="AY38" i="13"/>
  <c r="ER47" i="13"/>
  <c r="CU47" i="13"/>
  <c r="DB47" i="13"/>
  <c r="EK47" i="13"/>
  <c r="EQ47" i="13"/>
  <c r="EU47" i="13" s="1"/>
  <c r="EJ47" i="13"/>
  <c r="EN47" i="13" s="1"/>
  <c r="CT47" i="13"/>
  <c r="CX47" i="13" s="1"/>
  <c r="DA47" i="13"/>
  <c r="DE47" i="13" s="1"/>
  <c r="BA38" i="13" s="1"/>
  <c r="CM49" i="13"/>
  <c r="CG49" i="13" s="1"/>
  <c r="BH10" i="40"/>
  <c r="BI10" i="40" s="1"/>
  <c r="BH31" i="40"/>
  <c r="BI31" i="40" s="1"/>
  <c r="BH36" i="40"/>
  <c r="BI36" i="40" s="1"/>
  <c r="BH23" i="40"/>
  <c r="BI23" i="40" s="1"/>
  <c r="BH15" i="40"/>
  <c r="BI15" i="40" s="1"/>
  <c r="BH14" i="40"/>
  <c r="BI14" i="40" s="1"/>
  <c r="BH30" i="40"/>
  <c r="BI30" i="40" s="1"/>
  <c r="BH21" i="40"/>
  <c r="BI21" i="40" s="1"/>
  <c r="BH17" i="40"/>
  <c r="BI17" i="40" s="1"/>
  <c r="BH37" i="40"/>
  <c r="BI37" i="40" s="1"/>
  <c r="BH8" i="40"/>
  <c r="BI8" i="40" s="1"/>
  <c r="BH19" i="40"/>
  <c r="BI19" i="40" s="1"/>
  <c r="BH16" i="40"/>
  <c r="BI16" i="40" s="1"/>
  <c r="BH18" i="40"/>
  <c r="BI18" i="40" s="1"/>
  <c r="BH26" i="40"/>
  <c r="BI26" i="40" s="1"/>
  <c r="BH24" i="40"/>
  <c r="BI24" i="40" s="1"/>
  <c r="BH32" i="40"/>
  <c r="BI32" i="40" s="1"/>
  <c r="BH35" i="40"/>
  <c r="BI35" i="40" s="1"/>
  <c r="BH22" i="40"/>
  <c r="BI22" i="40" s="1"/>
  <c r="BH34" i="40"/>
  <c r="BI34" i="40" s="1"/>
  <c r="BH28" i="40"/>
  <c r="BI28" i="40" s="1"/>
  <c r="BH11" i="40"/>
  <c r="BI11" i="40" s="1"/>
  <c r="BH13" i="40"/>
  <c r="BI13" i="40" s="1"/>
  <c r="BH25" i="40"/>
  <c r="BI25" i="40" s="1"/>
  <c r="BH9" i="40"/>
  <c r="BI9" i="40" s="1"/>
  <c r="BH12" i="40"/>
  <c r="BI12" i="40" s="1"/>
  <c r="BH33" i="40"/>
  <c r="BI33" i="40" s="1"/>
  <c r="BH29" i="40"/>
  <c r="BI29" i="40" s="1"/>
  <c r="BH20" i="40"/>
  <c r="BI20" i="40" s="1"/>
  <c r="BH6" i="40"/>
  <c r="BI6" i="40" s="1"/>
  <c r="BH7" i="40"/>
  <c r="BI7" i="40" s="1"/>
  <c r="BH27" i="40"/>
  <c r="BI27" i="40" s="1"/>
  <c r="CO49" i="13"/>
  <c r="EQ21" i="13"/>
  <c r="AY12" i="13"/>
  <c r="DA21" i="13"/>
  <c r="EJ21" i="13"/>
  <c r="CT21" i="13"/>
  <c r="CH18" i="13"/>
  <c r="CF18" i="13" s="1"/>
  <c r="EI21" i="13" s="1"/>
  <c r="EN21" i="13" s="1"/>
  <c r="CN50" i="13"/>
  <c r="CI50" i="13"/>
  <c r="CI49" i="13"/>
  <c r="CO21" i="13"/>
  <c r="CM18" i="13"/>
  <c r="CG18" i="13" s="1"/>
  <c r="CH20" i="13"/>
  <c r="CF20" i="13" s="1"/>
  <c r="CU21" i="13" s="1"/>
  <c r="BC38" i="36"/>
  <c r="CN21" i="38"/>
  <c r="CI21" i="38"/>
  <c r="BE9" i="38"/>
  <c r="BF9" i="38" s="1"/>
  <c r="EJ47" i="38"/>
  <c r="EN47" i="38" s="1"/>
  <c r="ER23" i="38"/>
  <c r="BE11" i="38"/>
  <c r="BF11" i="38" s="1"/>
  <c r="DU20" i="38"/>
  <c r="DZ20" i="38" s="1"/>
  <c r="EK48" i="36"/>
  <c r="DA49" i="36"/>
  <c r="EP48" i="36"/>
  <c r="EU48" i="36" s="1"/>
  <c r="EI48" i="36"/>
  <c r="EN48" i="36" s="1"/>
  <c r="ER48" i="36"/>
  <c r="EQ49" i="36"/>
  <c r="CT49" i="36"/>
  <c r="EJ49" i="36"/>
  <c r="DB48" i="36"/>
  <c r="CV48" i="36"/>
  <c r="CS48" i="36"/>
  <c r="CX48" i="36" s="1"/>
  <c r="AY39" i="36"/>
  <c r="ES48" i="36"/>
  <c r="CZ48" i="36"/>
  <c r="DE48" i="36" s="1"/>
  <c r="BA39" i="36" s="1"/>
  <c r="CU48" i="36"/>
  <c r="CU21" i="36"/>
  <c r="EK21" i="36"/>
  <c r="ER21" i="36"/>
  <c r="EQ21" i="36"/>
  <c r="DP18" i="38"/>
  <c r="DW18" i="38"/>
  <c r="EC47" i="36"/>
  <c r="EG47" i="36" s="1"/>
  <c r="EB52" i="36" s="1"/>
  <c r="EJ47" i="36"/>
  <c r="EN47" i="36" s="1"/>
  <c r="CJ50" i="13"/>
  <c r="CO50" i="13"/>
  <c r="EI48" i="38"/>
  <c r="EN48" i="38" s="1"/>
  <c r="CS48" i="38"/>
  <c r="CX48" i="38" s="1"/>
  <c r="AY39" i="38"/>
  <c r="CZ48" i="38"/>
  <c r="DE48" i="38" s="1"/>
  <c r="BA39" i="38" s="1"/>
  <c r="EP48" i="38"/>
  <c r="EU48" i="38" s="1"/>
  <c r="CV48" i="38"/>
  <c r="CT47" i="38"/>
  <c r="CX47" i="38" s="1"/>
  <c r="EJ20" i="38"/>
  <c r="CT50" i="36"/>
  <c r="DV47" i="36"/>
  <c r="DZ47" i="36" s="1"/>
  <c r="EQ47" i="36"/>
  <c r="EU47" i="36" s="1"/>
  <c r="J62" i="53"/>
  <c r="P1018" i="41" s="1"/>
  <c r="E1018" i="41"/>
  <c r="CN50" i="34"/>
  <c r="CI50" i="34"/>
  <c r="DA47" i="38"/>
  <c r="DE47" i="38" s="1"/>
  <c r="BA38" i="38" s="1"/>
  <c r="DA20" i="38"/>
  <c r="CT20" i="38"/>
  <c r="AY11" i="36"/>
  <c r="CZ20" i="36"/>
  <c r="DE20" i="36" s="1"/>
  <c r="BA11" i="36" s="1"/>
  <c r="CS20" i="36"/>
  <c r="CX20" i="36" s="1"/>
  <c r="CU19" i="36"/>
  <c r="ES20" i="36"/>
  <c r="EK18" i="36"/>
  <c r="DB19" i="36"/>
  <c r="EQ20" i="36"/>
  <c r="CV20" i="36"/>
  <c r="EJ20" i="36"/>
  <c r="CU18" i="36"/>
  <c r="EQ50" i="36"/>
  <c r="CT47" i="36"/>
  <c r="CX47" i="36" s="1"/>
  <c r="CU19" i="38"/>
  <c r="ER19" i="38"/>
  <c r="EP19" i="38"/>
  <c r="EU19" i="38" s="1"/>
  <c r="AY10" i="38"/>
  <c r="DO20" i="38" s="1"/>
  <c r="EI19" i="38"/>
  <c r="EN19" i="38" s="1"/>
  <c r="DB19" i="38"/>
  <c r="CS19" i="38"/>
  <c r="CX19" i="38" s="1"/>
  <c r="EK19" i="38"/>
  <c r="CZ19" i="38"/>
  <c r="DE19" i="38" s="1"/>
  <c r="BA10" i="38" s="1"/>
  <c r="EC20" i="38" s="1"/>
  <c r="DV47" i="38"/>
  <c r="DZ47" i="38" s="1"/>
  <c r="EQ47" i="38"/>
  <c r="EU47" i="38" s="1"/>
  <c r="DN20" i="38"/>
  <c r="DS20" i="38" s="1"/>
  <c r="BB11" i="38" s="1"/>
  <c r="DG20" i="38"/>
  <c r="DL20" i="38" s="1"/>
  <c r="BC11" i="38"/>
  <c r="EB20" i="38" l="1"/>
  <c r="EG20" i="38" s="1"/>
  <c r="ED23" i="38" s="1"/>
  <c r="EL48" i="38"/>
  <c r="DI18" i="38"/>
  <c r="EJ49" i="38"/>
  <c r="ES48" i="38"/>
  <c r="DB48" i="38"/>
  <c r="CT50" i="38"/>
  <c r="DA50" i="38"/>
  <c r="DC48" i="38"/>
  <c r="BC9" i="38"/>
  <c r="DA21" i="38"/>
  <c r="EL19" i="38"/>
  <c r="EJ21" i="38"/>
  <c r="CV19" i="38"/>
  <c r="EQ21" i="38"/>
  <c r="CT21" i="38"/>
  <c r="EP50" i="38"/>
  <c r="EU50" i="38" s="1"/>
  <c r="ES47" i="38"/>
  <c r="CS50" i="38"/>
  <c r="CX50" i="38" s="1"/>
  <c r="AY41" i="38"/>
  <c r="DQ48" i="38" s="1"/>
  <c r="CV47" i="38"/>
  <c r="CZ50" i="38"/>
  <c r="DE50" i="38" s="1"/>
  <c r="BA41" i="38" s="1"/>
  <c r="DV50" i="38" s="1"/>
  <c r="DC47" i="38"/>
  <c r="EI50" i="38"/>
  <c r="EN50" i="38" s="1"/>
  <c r="EL47" i="38"/>
  <c r="ES19" i="38"/>
  <c r="EQ50" i="38"/>
  <c r="EB19" i="38"/>
  <c r="EG19" i="38" s="1"/>
  <c r="EC23" i="38" s="1"/>
  <c r="EQ49" i="38"/>
  <c r="DA49" i="38"/>
  <c r="CU48" i="38"/>
  <c r="CT49" i="38"/>
  <c r="EK48" i="38"/>
  <c r="AY12" i="38"/>
  <c r="CU21" i="38"/>
  <c r="EL18" i="38"/>
  <c r="EI21" i="38"/>
  <c r="EN21" i="38" s="1"/>
  <c r="DC18" i="38"/>
  <c r="CV20" i="38"/>
  <c r="ES20" i="38"/>
  <c r="CZ21" i="38"/>
  <c r="DE21" i="38" s="1"/>
  <c r="BA12" i="38" s="1"/>
  <c r="DO21" i="38" s="1"/>
  <c r="EK21" i="38"/>
  <c r="DB21" i="38"/>
  <c r="ES18" i="38"/>
  <c r="DC20" i="38"/>
  <c r="EL20" i="38"/>
  <c r="ER21" i="38"/>
  <c r="EP21" i="38"/>
  <c r="EU21" i="38" s="1"/>
  <c r="CS21" i="38"/>
  <c r="CX21" i="38" s="1"/>
  <c r="CV18" i="38"/>
  <c r="AY40" i="38"/>
  <c r="DP48" i="38" s="1"/>
  <c r="EK47" i="38"/>
  <c r="ES49" i="38"/>
  <c r="EP49" i="38"/>
  <c r="EU49" i="38" s="1"/>
  <c r="CZ49" i="38"/>
  <c r="DE49" i="38" s="1"/>
  <c r="BA40" i="38" s="1"/>
  <c r="DX49" i="38" s="1"/>
  <c r="ER50" i="38"/>
  <c r="EK50" i="38"/>
  <c r="DB50" i="38"/>
  <c r="ER47" i="38"/>
  <c r="CV49" i="38"/>
  <c r="CS49" i="38"/>
  <c r="CX49" i="38" s="1"/>
  <c r="CU50" i="38"/>
  <c r="CU47" i="38"/>
  <c r="EI49" i="38"/>
  <c r="EN49" i="38" s="1"/>
  <c r="EL49" i="38"/>
  <c r="DB47" i="38"/>
  <c r="DC49" i="38"/>
  <c r="DU19" i="38"/>
  <c r="DZ19" i="38" s="1"/>
  <c r="BH11" i="38"/>
  <c r="BK11" i="38" s="1"/>
  <c r="ED19" i="38"/>
  <c r="CT20" i="36"/>
  <c r="DA20" i="36"/>
  <c r="CT21" i="36"/>
  <c r="EL19" i="36"/>
  <c r="EI21" i="36"/>
  <c r="EN21" i="36" s="1"/>
  <c r="DA21" i="36"/>
  <c r="AY12" i="36"/>
  <c r="DC19" i="36"/>
  <c r="EP21" i="36"/>
  <c r="EU21" i="36" s="1"/>
  <c r="CV19" i="36"/>
  <c r="EK19" i="36"/>
  <c r="EL20" i="36"/>
  <c r="ER19" i="36"/>
  <c r="DC20" i="36"/>
  <c r="DB21" i="36"/>
  <c r="EJ21" i="36"/>
  <c r="DB18" i="36"/>
  <c r="DC18" i="36"/>
  <c r="CT18" i="36"/>
  <c r="CX18" i="36" s="1"/>
  <c r="DA18" i="36"/>
  <c r="DE18" i="36" s="1"/>
  <c r="BA9" i="36" s="1"/>
  <c r="DW18" i="36" s="1"/>
  <c r="ER18" i="36"/>
  <c r="EI20" i="36"/>
  <c r="EN20" i="36" s="1"/>
  <c r="EP20" i="36"/>
  <c r="EU20" i="36" s="1"/>
  <c r="ER23" i="36" s="1"/>
  <c r="CZ21" i="36"/>
  <c r="DE21" i="36" s="1"/>
  <c r="BA12" i="36" s="1"/>
  <c r="EE18" i="36" s="1"/>
  <c r="ES18" i="36"/>
  <c r="CS21" i="36"/>
  <c r="CX21" i="36" s="1"/>
  <c r="EL18" i="36"/>
  <c r="EJ18" i="36"/>
  <c r="EN18" i="36" s="1"/>
  <c r="AY40" i="36"/>
  <c r="CS49" i="36"/>
  <c r="CX49" i="36" s="1"/>
  <c r="ER47" i="36"/>
  <c r="CZ49" i="36"/>
  <c r="DE49" i="36" s="1"/>
  <c r="BA40" i="36" s="1"/>
  <c r="EI49" i="36"/>
  <c r="EN49" i="36" s="1"/>
  <c r="CU47" i="36"/>
  <c r="EK47" i="36"/>
  <c r="DB47" i="36"/>
  <c r="EP49" i="36"/>
  <c r="EU49" i="36" s="1"/>
  <c r="ES47" i="36"/>
  <c r="CS50" i="36"/>
  <c r="CX50" i="36" s="1"/>
  <c r="AY41" i="36"/>
  <c r="DQ48" i="36" s="1"/>
  <c r="EL49" i="36"/>
  <c r="CZ50" i="36"/>
  <c r="DE50" i="36" s="1"/>
  <c r="BA41" i="36" s="1"/>
  <c r="DX47" i="36" s="1"/>
  <c r="DC49" i="36"/>
  <c r="DC47" i="36"/>
  <c r="DB50" i="36"/>
  <c r="CV49" i="36"/>
  <c r="EI50" i="36"/>
  <c r="EN50" i="36" s="1"/>
  <c r="EL47" i="36"/>
  <c r="CV47" i="36"/>
  <c r="EP50" i="36"/>
  <c r="EU50" i="36" s="1"/>
  <c r="CU50" i="36"/>
  <c r="ER50" i="36"/>
  <c r="EK50" i="36"/>
  <c r="ES49" i="36"/>
  <c r="CN49" i="36"/>
  <c r="CI49" i="36"/>
  <c r="EJ50" i="36"/>
  <c r="EE20" i="36"/>
  <c r="EL48" i="36"/>
  <c r="DC48" i="36"/>
  <c r="CZ19" i="36"/>
  <c r="DE19" i="36" s="1"/>
  <c r="BA10" i="36" s="1"/>
  <c r="EB19" i="36" s="1"/>
  <c r="EG19" i="36" s="1"/>
  <c r="EC23" i="36" s="1"/>
  <c r="AY10" i="36"/>
  <c r="EP19" i="36"/>
  <c r="EU19" i="36" s="1"/>
  <c r="CS19" i="36"/>
  <c r="CX19" i="36" s="1"/>
  <c r="EI19" i="36"/>
  <c r="EN19" i="36" s="1"/>
  <c r="DA50" i="36"/>
  <c r="EQ18" i="36"/>
  <c r="EU18" i="36" s="1"/>
  <c r="ES47" i="34"/>
  <c r="EL47" i="34"/>
  <c r="EP50" i="34"/>
  <c r="EU50" i="34" s="1"/>
  <c r="CV47" i="34"/>
  <c r="EI50" i="34"/>
  <c r="EN50" i="34" s="1"/>
  <c r="CS50" i="34"/>
  <c r="CX50" i="34" s="1"/>
  <c r="DB47" i="34"/>
  <c r="EK50" i="34"/>
  <c r="EJ47" i="34"/>
  <c r="EN47" i="34" s="1"/>
  <c r="EI48" i="34"/>
  <c r="EN48" i="34" s="1"/>
  <c r="EP48" i="34"/>
  <c r="EU48" i="34" s="1"/>
  <c r="CS48" i="34"/>
  <c r="CX48" i="34" s="1"/>
  <c r="AY39" i="34"/>
  <c r="DO50" i="34" s="1"/>
  <c r="CZ48" i="34"/>
  <c r="DE48" i="34" s="1"/>
  <c r="BA39" i="34" s="1"/>
  <c r="EE48" i="34" s="1"/>
  <c r="ER48" i="34"/>
  <c r="EL48" i="34"/>
  <c r="DC48" i="34"/>
  <c r="CU48" i="34"/>
  <c r="CV48" i="34"/>
  <c r="DB48" i="34"/>
  <c r="EK48" i="34"/>
  <c r="ES48" i="34"/>
  <c r="CZ20" i="34"/>
  <c r="DE20" i="34" s="1"/>
  <c r="BA11" i="34" s="1"/>
  <c r="DC20" i="34"/>
  <c r="CV20" i="34"/>
  <c r="CS20" i="34"/>
  <c r="CX20" i="34" s="1"/>
  <c r="EP20" i="34"/>
  <c r="EU20" i="34" s="1"/>
  <c r="EL20" i="34"/>
  <c r="AY11" i="34"/>
  <c r="EI20" i="34"/>
  <c r="EN20" i="34" s="1"/>
  <c r="ES20" i="34"/>
  <c r="CT20" i="34"/>
  <c r="DA20" i="34"/>
  <c r="EJ20" i="34"/>
  <c r="EQ20" i="34"/>
  <c r="ER47" i="34"/>
  <c r="CU47" i="34"/>
  <c r="DA47" i="34"/>
  <c r="DE47" i="34" s="1"/>
  <c r="BA38" i="34" s="1"/>
  <c r="CU50" i="34"/>
  <c r="DB50" i="34"/>
  <c r="EI21" i="34"/>
  <c r="EN21" i="34" s="1"/>
  <c r="CS21" i="34"/>
  <c r="CX21" i="34" s="1"/>
  <c r="ER21" i="34"/>
  <c r="EP21" i="34"/>
  <c r="EU21" i="34" s="1"/>
  <c r="EK21" i="34"/>
  <c r="CZ21" i="34"/>
  <c r="DE21" i="34" s="1"/>
  <c r="BA12" i="34" s="1"/>
  <c r="DB21" i="34"/>
  <c r="AY12" i="34"/>
  <c r="CU21" i="34"/>
  <c r="CT21" i="34"/>
  <c r="DA21" i="34"/>
  <c r="EQ21" i="34"/>
  <c r="EJ21" i="34"/>
  <c r="EK47" i="34"/>
  <c r="EQ47" i="34"/>
  <c r="EU47" i="34" s="1"/>
  <c r="CT50" i="34"/>
  <c r="DA50" i="34"/>
  <c r="DC18" i="34"/>
  <c r="AY9" i="34"/>
  <c r="EL18" i="34"/>
  <c r="ES18" i="34"/>
  <c r="ER18" i="34"/>
  <c r="CU18" i="34"/>
  <c r="CV18" i="34"/>
  <c r="EK18" i="34"/>
  <c r="DB18" i="34"/>
  <c r="EQ18" i="34"/>
  <c r="EU18" i="34" s="1"/>
  <c r="DA18" i="34"/>
  <c r="DE18" i="34" s="1"/>
  <c r="BA9" i="34" s="1"/>
  <c r="CT18" i="34"/>
  <c r="CX18" i="34" s="1"/>
  <c r="EJ18" i="34"/>
  <c r="EN18" i="34" s="1"/>
  <c r="AY10" i="34"/>
  <c r="DB19" i="34"/>
  <c r="CU19" i="34"/>
  <c r="DC19" i="34"/>
  <c r="EP19" i="34"/>
  <c r="EU19" i="34" s="1"/>
  <c r="EI19" i="34"/>
  <c r="EN19" i="34" s="1"/>
  <c r="CS19" i="34"/>
  <c r="CX19" i="34" s="1"/>
  <c r="CV19" i="34"/>
  <c r="EL19" i="34"/>
  <c r="CZ19" i="34"/>
  <c r="DE19" i="34" s="1"/>
  <c r="BA10" i="34" s="1"/>
  <c r="ED19" i="34" s="1"/>
  <c r="EK19" i="34"/>
  <c r="ER19" i="34"/>
  <c r="ES19" i="34"/>
  <c r="AY40" i="34"/>
  <c r="DI50" i="34" s="1"/>
  <c r="EP49" i="34"/>
  <c r="EU49" i="34" s="1"/>
  <c r="DC49" i="34"/>
  <c r="EI49" i="34"/>
  <c r="EN49" i="34" s="1"/>
  <c r="ES49" i="34"/>
  <c r="EQ49" i="34"/>
  <c r="CS49" i="34"/>
  <c r="CX49" i="34" s="1"/>
  <c r="CZ49" i="34"/>
  <c r="DE49" i="34" s="1"/>
  <c r="BA40" i="34" s="1"/>
  <c r="ED48" i="34" s="1"/>
  <c r="EJ49" i="34"/>
  <c r="CT49" i="34"/>
  <c r="CV49" i="34"/>
  <c r="DA49" i="34"/>
  <c r="EL49" i="34"/>
  <c r="DV49" i="34"/>
  <c r="CT47" i="34"/>
  <c r="CX47" i="34" s="1"/>
  <c r="EC50" i="34"/>
  <c r="EQ50" i="34"/>
  <c r="BE41" i="34"/>
  <c r="BF41" i="34" s="1"/>
  <c r="ES52" i="34"/>
  <c r="DG50" i="34"/>
  <c r="DL50" i="34" s="1"/>
  <c r="DN50" i="34"/>
  <c r="DS50" i="34" s="1"/>
  <c r="BB41" i="34" s="1"/>
  <c r="BC41" i="34"/>
  <c r="DU49" i="13"/>
  <c r="DZ49" i="13" s="1"/>
  <c r="CZ21" i="13"/>
  <c r="DE21" i="13" s="1"/>
  <c r="BA12" i="13" s="1"/>
  <c r="EK21" i="13"/>
  <c r="ER21" i="13"/>
  <c r="DB21" i="13"/>
  <c r="DW47" i="13"/>
  <c r="EL47" i="13"/>
  <c r="DI48" i="13"/>
  <c r="DG48" i="13"/>
  <c r="DL48" i="13" s="1"/>
  <c r="DN48" i="13"/>
  <c r="DS48" i="13" s="1"/>
  <c r="BB39" i="13" s="1"/>
  <c r="BC39" i="13"/>
  <c r="DP48" i="13"/>
  <c r="EL48" i="13"/>
  <c r="DV49" i="13"/>
  <c r="BE40" i="13"/>
  <c r="BF40" i="13" s="1"/>
  <c r="ER52" i="13"/>
  <c r="EQ20" i="13"/>
  <c r="EJ20" i="13"/>
  <c r="CZ20" i="13"/>
  <c r="DE20" i="13" s="1"/>
  <c r="BA11" i="13" s="1"/>
  <c r="AY11" i="13"/>
  <c r="DI21" i="13" s="1"/>
  <c r="EL20" i="13"/>
  <c r="CT20" i="13"/>
  <c r="DC20" i="13"/>
  <c r="CV20" i="13"/>
  <c r="EP20" i="13"/>
  <c r="EU20" i="13" s="1"/>
  <c r="DA20" i="13"/>
  <c r="ES20" i="13"/>
  <c r="CS20" i="13"/>
  <c r="CX20" i="13" s="1"/>
  <c r="EI20" i="13"/>
  <c r="EN20" i="13" s="1"/>
  <c r="CS21" i="13"/>
  <c r="CX21" i="13" s="1"/>
  <c r="CV47" i="13"/>
  <c r="ES47" i="13"/>
  <c r="EB48" i="13"/>
  <c r="EG48" i="13" s="1"/>
  <c r="EC52" i="13" s="1"/>
  <c r="ED47" i="13"/>
  <c r="CS50" i="13"/>
  <c r="CX50" i="13" s="1"/>
  <c r="CU50" i="13"/>
  <c r="CT50" i="13"/>
  <c r="CZ50" i="13"/>
  <c r="DE50" i="13" s="1"/>
  <c r="BA41" i="13" s="1"/>
  <c r="EE49" i="13" s="1"/>
  <c r="EI50" i="13"/>
  <c r="EN50" i="13" s="1"/>
  <c r="DB50" i="13"/>
  <c r="ER50" i="13"/>
  <c r="DA50" i="13"/>
  <c r="EP50" i="13"/>
  <c r="EU50" i="13" s="1"/>
  <c r="EJ50" i="13"/>
  <c r="AY41" i="13"/>
  <c r="DJ48" i="13" s="1"/>
  <c r="EK50" i="13"/>
  <c r="EQ50" i="13"/>
  <c r="EE47" i="13"/>
  <c r="DX47" i="13"/>
  <c r="DV50" i="13"/>
  <c r="DP21" i="13"/>
  <c r="BC12" i="13"/>
  <c r="EC47" i="13"/>
  <c r="EG47" i="13" s="1"/>
  <c r="EB52" i="13" s="1"/>
  <c r="DV47" i="13"/>
  <c r="DZ47" i="13" s="1"/>
  <c r="ED48" i="13"/>
  <c r="CV48" i="13"/>
  <c r="DC48" i="13"/>
  <c r="BE39" i="13"/>
  <c r="BF39" i="13" s="1"/>
  <c r="EQ52" i="13"/>
  <c r="AY10" i="13"/>
  <c r="DO21" i="13" s="1"/>
  <c r="CZ19" i="13"/>
  <c r="DE19" i="13" s="1"/>
  <c r="BA10" i="13" s="1"/>
  <c r="EE19" i="13" s="1"/>
  <c r="CS19" i="13"/>
  <c r="CX19" i="13" s="1"/>
  <c r="ES19" i="13"/>
  <c r="EK19" i="13"/>
  <c r="EI19" i="13"/>
  <c r="EN19" i="13" s="1"/>
  <c r="EP19" i="13"/>
  <c r="EU19" i="13" s="1"/>
  <c r="DX19" i="13"/>
  <c r="DB19" i="13"/>
  <c r="CV19" i="13"/>
  <c r="ER19" i="13"/>
  <c r="CU19" i="13"/>
  <c r="DC19" i="13"/>
  <c r="EL19" i="13"/>
  <c r="DV21" i="13"/>
  <c r="DC49" i="13"/>
  <c r="ES49" i="13"/>
  <c r="EL49" i="13"/>
  <c r="BC40" i="13"/>
  <c r="DN49" i="13"/>
  <c r="DS49" i="13" s="1"/>
  <c r="BB40" i="13" s="1"/>
  <c r="DG49" i="13"/>
  <c r="DL49" i="13" s="1"/>
  <c r="DO49" i="13"/>
  <c r="DJ49" i="13"/>
  <c r="DH49" i="13"/>
  <c r="DC47" i="13"/>
  <c r="DW21" i="13"/>
  <c r="AY9" i="13"/>
  <c r="DG21" i="13" s="1"/>
  <c r="DL21" i="13" s="1"/>
  <c r="CT18" i="13"/>
  <c r="CX18" i="13" s="1"/>
  <c r="DA18" i="13"/>
  <c r="DE18" i="13" s="1"/>
  <c r="BA9" i="13" s="1"/>
  <c r="EB19" i="13" s="1"/>
  <c r="EG19" i="13" s="1"/>
  <c r="EC23" i="13" s="1"/>
  <c r="DV18" i="13"/>
  <c r="DZ18" i="13" s="1"/>
  <c r="DC18" i="13"/>
  <c r="EJ18" i="13"/>
  <c r="EN18" i="13" s="1"/>
  <c r="EC18" i="13"/>
  <c r="EG18" i="13" s="1"/>
  <c r="EB23" i="13" s="1"/>
  <c r="CV18" i="13"/>
  <c r="ES18" i="13"/>
  <c r="EL18" i="13"/>
  <c r="EQ18" i="13"/>
  <c r="EU18" i="13" s="1"/>
  <c r="CU18" i="13"/>
  <c r="EB21" i="13"/>
  <c r="EG21" i="13" s="1"/>
  <c r="EE23" i="13" s="1"/>
  <c r="DU21" i="13"/>
  <c r="DZ21" i="13" s="1"/>
  <c r="DB18" i="13"/>
  <c r="EK18" i="13"/>
  <c r="ER18" i="13"/>
  <c r="EE18" i="13"/>
  <c r="DX18" i="13"/>
  <c r="EP21" i="13"/>
  <c r="EU21" i="13" s="1"/>
  <c r="DU50" i="13"/>
  <c r="DZ50" i="13" s="1"/>
  <c r="BC38" i="13"/>
  <c r="DI47" i="13"/>
  <c r="DO47" i="13"/>
  <c r="DS47" i="13" s="1"/>
  <c r="BB38" i="13" s="1"/>
  <c r="DH47" i="13"/>
  <c r="DL47" i="13" s="1"/>
  <c r="DP47" i="13"/>
  <c r="DQ47" i="13"/>
  <c r="BE38" i="13"/>
  <c r="BF38" i="13" s="1"/>
  <c r="EP52" i="13"/>
  <c r="ES48" i="13"/>
  <c r="DU48" i="13"/>
  <c r="DZ48" i="13" s="1"/>
  <c r="DW48" i="13"/>
  <c r="EB49" i="13"/>
  <c r="EG49" i="13" s="1"/>
  <c r="ED52" i="13" s="1"/>
  <c r="EC49" i="13"/>
  <c r="DH20" i="38"/>
  <c r="DW19" i="38"/>
  <c r="ED19" i="36"/>
  <c r="EE48" i="38"/>
  <c r="EQ52" i="38"/>
  <c r="BE39" i="38"/>
  <c r="BF39" i="38" s="1"/>
  <c r="DO18" i="38"/>
  <c r="DS18" i="38" s="1"/>
  <c r="BB9" i="38" s="1"/>
  <c r="BH9" i="38" s="1"/>
  <c r="FF18" i="38"/>
  <c r="EY18" i="38"/>
  <c r="EE19" i="36"/>
  <c r="EB48" i="36"/>
  <c r="EG48" i="36" s="1"/>
  <c r="EC52" i="36" s="1"/>
  <c r="EQ52" i="36"/>
  <c r="BE39" i="36"/>
  <c r="BF39" i="36" s="1"/>
  <c r="DP19" i="38"/>
  <c r="DN19" i="38"/>
  <c r="DS19" i="38" s="1"/>
  <c r="BB10" i="38" s="1"/>
  <c r="DJ19" i="38"/>
  <c r="DI19" i="38"/>
  <c r="DG19" i="38"/>
  <c r="DL19" i="38" s="1"/>
  <c r="DQ19" i="38"/>
  <c r="BC10" i="38"/>
  <c r="FE20" i="38" s="1"/>
  <c r="DV18" i="38"/>
  <c r="DZ18" i="38" s="1"/>
  <c r="DI19" i="36"/>
  <c r="BE12" i="36"/>
  <c r="BF12" i="36" s="1"/>
  <c r="ES23" i="36"/>
  <c r="ED48" i="36"/>
  <c r="DV20" i="38"/>
  <c r="FD20" i="38"/>
  <c r="FI20" i="38" s="1"/>
  <c r="EW20" i="38"/>
  <c r="FB20" i="38" s="1"/>
  <c r="BE38" i="38"/>
  <c r="BF38" i="38" s="1"/>
  <c r="EP52" i="38"/>
  <c r="EQ23" i="38"/>
  <c r="BE10" i="38"/>
  <c r="BF10" i="38" s="1"/>
  <c r="BE11" i="36"/>
  <c r="BF11" i="36" s="1"/>
  <c r="EP52" i="36"/>
  <c r="BE38" i="36"/>
  <c r="BF38" i="36" s="1"/>
  <c r="EB48" i="38"/>
  <c r="EG48" i="38" s="1"/>
  <c r="EC52" i="38" s="1"/>
  <c r="DG48" i="38"/>
  <c r="DL48" i="38" s="1"/>
  <c r="DN48" i="38"/>
  <c r="DS48" i="38" s="1"/>
  <c r="BB39" i="38" s="1"/>
  <c r="DJ48" i="38"/>
  <c r="BC39" i="38"/>
  <c r="DH18" i="38"/>
  <c r="DL18" i="38" s="1"/>
  <c r="DI21" i="36"/>
  <c r="BC12" i="36"/>
  <c r="DV49" i="36"/>
  <c r="DW48" i="36"/>
  <c r="DH21" i="38"/>
  <c r="EC18" i="38"/>
  <c r="EG18" i="38" s="1"/>
  <c r="EB23" i="38" s="1"/>
  <c r="DO20" i="36"/>
  <c r="DN20" i="36"/>
  <c r="DS20" i="36" s="1"/>
  <c r="BB11" i="36" s="1"/>
  <c r="DG20" i="36"/>
  <c r="DL20" i="36" s="1"/>
  <c r="DJ20" i="36"/>
  <c r="BC11" i="36"/>
  <c r="DQ20" i="36"/>
  <c r="BC38" i="38"/>
  <c r="DO47" i="38"/>
  <c r="DS47" i="38" s="1"/>
  <c r="BB38" i="38" s="1"/>
  <c r="DH47" i="38"/>
  <c r="DL47" i="38" s="1"/>
  <c r="DQ47" i="38"/>
  <c r="DJ47" i="38"/>
  <c r="DX47" i="38"/>
  <c r="EE47" i="38"/>
  <c r="EB50" i="38"/>
  <c r="EG50" i="38" s="1"/>
  <c r="EE52" i="38" s="1"/>
  <c r="DU50" i="38"/>
  <c r="DZ50" i="38" s="1"/>
  <c r="EC47" i="38"/>
  <c r="EG47" i="38" s="1"/>
  <c r="EB52" i="38" s="1"/>
  <c r="DU48" i="38"/>
  <c r="DZ48" i="38" s="1"/>
  <c r="DJ48" i="36"/>
  <c r="BC39" i="36"/>
  <c r="DG48" i="36"/>
  <c r="DL48" i="36" s="1"/>
  <c r="DN48" i="36"/>
  <c r="DS48" i="36" s="1"/>
  <c r="BB39" i="36" s="1"/>
  <c r="DV50" i="36"/>
  <c r="DU48" i="36"/>
  <c r="DZ48" i="36" s="1"/>
  <c r="DO49" i="38"/>
  <c r="DH47" i="36"/>
  <c r="DL47" i="36" s="1"/>
  <c r="DO47" i="36"/>
  <c r="DS47" i="36" s="1"/>
  <c r="BB38" i="36" s="1"/>
  <c r="BH39" i="38" l="1"/>
  <c r="EE19" i="38"/>
  <c r="DV49" i="38"/>
  <c r="EB49" i="38"/>
  <c r="EG49" i="38" s="1"/>
  <c r="ED52" i="38" s="1"/>
  <c r="DH49" i="38"/>
  <c r="EC49" i="38"/>
  <c r="ES52" i="38"/>
  <c r="BE41" i="38"/>
  <c r="BF41" i="38" s="1"/>
  <c r="ED47" i="38"/>
  <c r="DW47" i="38"/>
  <c r="DP47" i="38"/>
  <c r="DI48" i="38"/>
  <c r="DI47" i="38"/>
  <c r="DU49" i="38"/>
  <c r="DZ49" i="38" s="1"/>
  <c r="BC41" i="38"/>
  <c r="FE50" i="38" s="1"/>
  <c r="DN50" i="38"/>
  <c r="DS50" i="38" s="1"/>
  <c r="BB41" i="38" s="1"/>
  <c r="BH41" i="38" s="1"/>
  <c r="BO41" i="38" s="1"/>
  <c r="DX48" i="38"/>
  <c r="DO50" i="38"/>
  <c r="EC50" i="38"/>
  <c r="DG50" i="38"/>
  <c r="DL50" i="38" s="1"/>
  <c r="DH50" i="38"/>
  <c r="BH38" i="38"/>
  <c r="BH10" i="38"/>
  <c r="AV11" i="38"/>
  <c r="DJ18" i="38"/>
  <c r="DQ18" i="38"/>
  <c r="DQ20" i="38"/>
  <c r="DJ20" i="38"/>
  <c r="ES23" i="38"/>
  <c r="BE12" i="38"/>
  <c r="BF12" i="38" s="1"/>
  <c r="DG21" i="38"/>
  <c r="DL21" i="38" s="1"/>
  <c r="ED21" i="38"/>
  <c r="DX20" i="38"/>
  <c r="DU21" i="38"/>
  <c r="DZ21" i="38" s="1"/>
  <c r="BC12" i="38"/>
  <c r="DP21" i="38"/>
  <c r="EE18" i="38"/>
  <c r="EC21" i="38"/>
  <c r="EE20" i="38"/>
  <c r="DN21" i="38"/>
  <c r="DS21" i="38" s="1"/>
  <c r="BB12" i="38" s="1"/>
  <c r="DI21" i="38"/>
  <c r="DW21" i="38"/>
  <c r="DX18" i="38"/>
  <c r="DV21" i="38"/>
  <c r="BE40" i="38"/>
  <c r="BF40" i="38" s="1"/>
  <c r="ER52" i="38"/>
  <c r="DN49" i="38"/>
  <c r="DS49" i="38" s="1"/>
  <c r="BB40" i="38" s="1"/>
  <c r="DW48" i="38"/>
  <c r="ED48" i="38"/>
  <c r="EE49" i="38"/>
  <c r="DJ49" i="38"/>
  <c r="BC40" i="38"/>
  <c r="EY48" i="38" s="1"/>
  <c r="ED50" i="38"/>
  <c r="DW50" i="38"/>
  <c r="DG49" i="38"/>
  <c r="DL49" i="38" s="1"/>
  <c r="DQ49" i="38"/>
  <c r="DP50" i="38"/>
  <c r="DI50" i="38"/>
  <c r="EB21" i="38"/>
  <c r="EG21" i="38" s="1"/>
  <c r="EE23" i="38" s="1"/>
  <c r="DX19" i="38"/>
  <c r="ED21" i="36"/>
  <c r="DN21" i="36"/>
  <c r="DS21" i="36" s="1"/>
  <c r="BB12" i="36" s="1"/>
  <c r="DP18" i="36"/>
  <c r="EC21" i="36"/>
  <c r="EB21" i="36"/>
  <c r="EG21" i="36" s="1"/>
  <c r="EE23" i="36" s="1"/>
  <c r="DU20" i="36"/>
  <c r="DZ20" i="36" s="1"/>
  <c r="DX20" i="36"/>
  <c r="BC9" i="36"/>
  <c r="EW21" i="36" s="1"/>
  <c r="FB21" i="36" s="1"/>
  <c r="DI18" i="36"/>
  <c r="DQ18" i="36"/>
  <c r="DW21" i="36"/>
  <c r="DX18" i="36"/>
  <c r="DP21" i="36"/>
  <c r="DG21" i="36"/>
  <c r="DL21" i="36" s="1"/>
  <c r="DX48" i="36"/>
  <c r="DJ18" i="36"/>
  <c r="EB20" i="36"/>
  <c r="EG20" i="36" s="1"/>
  <c r="ED23" i="36" s="1"/>
  <c r="DX19" i="36"/>
  <c r="DH18" i="36"/>
  <c r="DL18" i="36" s="1"/>
  <c r="DU19" i="36"/>
  <c r="DZ19" i="36" s="1"/>
  <c r="DU21" i="36"/>
  <c r="DZ21" i="36" s="1"/>
  <c r="ED18" i="36"/>
  <c r="BE40" i="36"/>
  <c r="BF40" i="36" s="1"/>
  <c r="ER52" i="36"/>
  <c r="DI47" i="36"/>
  <c r="DP47" i="36"/>
  <c r="DP48" i="36"/>
  <c r="ED47" i="36"/>
  <c r="DG49" i="36"/>
  <c r="DL49" i="36" s="1"/>
  <c r="DU49" i="36"/>
  <c r="DZ49" i="36" s="1"/>
  <c r="DN49" i="36"/>
  <c r="DS49" i="36" s="1"/>
  <c r="BB40" i="36" s="1"/>
  <c r="DH49" i="36"/>
  <c r="EB49" i="36"/>
  <c r="EG49" i="36" s="1"/>
  <c r="ED52" i="36" s="1"/>
  <c r="BC40" i="36"/>
  <c r="DW47" i="36"/>
  <c r="EC49" i="36"/>
  <c r="BH39" i="36"/>
  <c r="DI48" i="36"/>
  <c r="EC20" i="36"/>
  <c r="DO49" i="36"/>
  <c r="BH12" i="36"/>
  <c r="DP19" i="36"/>
  <c r="DQ19" i="36"/>
  <c r="EE47" i="36"/>
  <c r="DN19" i="36"/>
  <c r="DS19" i="36" s="1"/>
  <c r="BB10" i="36" s="1"/>
  <c r="BC10" i="36"/>
  <c r="EX21" i="36" s="1"/>
  <c r="DG19" i="36"/>
  <c r="DL19" i="36" s="1"/>
  <c r="DV21" i="36"/>
  <c r="EC18" i="36"/>
  <c r="EG18" i="36" s="1"/>
  <c r="EB23" i="36" s="1"/>
  <c r="DW19" i="36"/>
  <c r="DV18" i="36"/>
  <c r="DZ18" i="36" s="1"/>
  <c r="EC50" i="36"/>
  <c r="DH20" i="36"/>
  <c r="DH21" i="36"/>
  <c r="DO21" i="36"/>
  <c r="DJ19" i="36"/>
  <c r="DU50" i="36"/>
  <c r="DZ50" i="36" s="1"/>
  <c r="DJ49" i="36"/>
  <c r="DQ49" i="36"/>
  <c r="DQ47" i="36"/>
  <c r="DJ47" i="36"/>
  <c r="DO18" i="36"/>
  <c r="DS18" i="36" s="1"/>
  <c r="BB9" i="36" s="1"/>
  <c r="DW50" i="36"/>
  <c r="DH50" i="36"/>
  <c r="DO50" i="36"/>
  <c r="EB50" i="36"/>
  <c r="EG50" i="36" s="1"/>
  <c r="EE52" i="36" s="1"/>
  <c r="DI50" i="36"/>
  <c r="EE49" i="36"/>
  <c r="BC41" i="36"/>
  <c r="FG48" i="36" s="1"/>
  <c r="DN50" i="36"/>
  <c r="DS50" i="36" s="1"/>
  <c r="BB41" i="36" s="1"/>
  <c r="DG50" i="36"/>
  <c r="DL50" i="36" s="1"/>
  <c r="DP50" i="36"/>
  <c r="BH38" i="36"/>
  <c r="AV38" i="36" s="1"/>
  <c r="EE48" i="36"/>
  <c r="BH11" i="36"/>
  <c r="EP23" i="36"/>
  <c r="BE9" i="36"/>
  <c r="BF9" i="36" s="1"/>
  <c r="EQ23" i="36"/>
  <c r="BE10" i="36"/>
  <c r="BF10" i="36" s="1"/>
  <c r="DX49" i="36"/>
  <c r="DV20" i="36"/>
  <c r="BE41" i="36"/>
  <c r="BF41" i="36" s="1"/>
  <c r="ES52" i="36"/>
  <c r="ED50" i="36"/>
  <c r="DH50" i="34"/>
  <c r="EB49" i="34"/>
  <c r="EG49" i="34" s="1"/>
  <c r="ED52" i="34" s="1"/>
  <c r="DU19" i="34"/>
  <c r="DZ19" i="34" s="1"/>
  <c r="DU48" i="34"/>
  <c r="DZ48" i="34" s="1"/>
  <c r="EC47" i="34"/>
  <c r="EG47" i="34" s="1"/>
  <c r="EB52" i="34" s="1"/>
  <c r="DU49" i="34"/>
  <c r="DZ49" i="34" s="1"/>
  <c r="EC49" i="34"/>
  <c r="ED18" i="34"/>
  <c r="DX48" i="34"/>
  <c r="BH41" i="34"/>
  <c r="AV41" i="34" s="1"/>
  <c r="EE49" i="34"/>
  <c r="DW47" i="34"/>
  <c r="DX18" i="34"/>
  <c r="DV47" i="34"/>
  <c r="DZ47" i="34" s="1"/>
  <c r="DW50" i="34"/>
  <c r="ED47" i="34"/>
  <c r="EC18" i="34"/>
  <c r="EG18" i="34" s="1"/>
  <c r="EB23" i="34" s="1"/>
  <c r="DV50" i="34"/>
  <c r="BE38" i="34"/>
  <c r="BF38" i="34" s="1"/>
  <c r="EP52" i="34"/>
  <c r="BC12" i="34"/>
  <c r="DI21" i="34"/>
  <c r="DG21" i="34"/>
  <c r="DL21" i="34" s="1"/>
  <c r="DN21" i="34"/>
  <c r="DS21" i="34" s="1"/>
  <c r="BB12" i="34" s="1"/>
  <c r="DP21" i="34"/>
  <c r="DO21" i="34"/>
  <c r="DH21" i="34"/>
  <c r="EB21" i="34"/>
  <c r="EG21" i="34" s="1"/>
  <c r="EE23" i="34" s="1"/>
  <c r="EE20" i="34"/>
  <c r="ER52" i="34"/>
  <c r="BE40" i="34"/>
  <c r="BF40" i="34" s="1"/>
  <c r="DW19" i="34"/>
  <c r="DV21" i="34"/>
  <c r="DQ19" i="34"/>
  <c r="DN19" i="34"/>
  <c r="DS19" i="34" s="1"/>
  <c r="BB10" i="34" s="1"/>
  <c r="DJ19" i="34"/>
  <c r="DI19" i="34"/>
  <c r="DG19" i="34"/>
  <c r="DL19" i="34" s="1"/>
  <c r="DP19" i="34"/>
  <c r="BC10" i="34"/>
  <c r="EB19" i="34"/>
  <c r="EG19" i="34" s="1"/>
  <c r="EC23" i="34" s="1"/>
  <c r="DV18" i="34"/>
  <c r="DZ18" i="34" s="1"/>
  <c r="ED21" i="34"/>
  <c r="EC20" i="34"/>
  <c r="DW48" i="34"/>
  <c r="DG48" i="34"/>
  <c r="DL48" i="34" s="1"/>
  <c r="BC39" i="34"/>
  <c r="FE50" i="34" s="1"/>
  <c r="DN48" i="34"/>
  <c r="DS48" i="34" s="1"/>
  <c r="BB39" i="34" s="1"/>
  <c r="DJ48" i="34"/>
  <c r="DI48" i="34"/>
  <c r="DQ48" i="34"/>
  <c r="DP48" i="34"/>
  <c r="DX20" i="34"/>
  <c r="EQ23" i="34"/>
  <c r="BE10" i="34"/>
  <c r="BF10" i="34" s="1"/>
  <c r="DW18" i="34"/>
  <c r="DI18" i="34"/>
  <c r="DH18" i="34"/>
  <c r="DL18" i="34" s="1"/>
  <c r="DP18" i="34"/>
  <c r="DO18" i="34"/>
  <c r="DS18" i="34" s="1"/>
  <c r="BB9" i="34" s="1"/>
  <c r="BC9" i="34"/>
  <c r="EE18" i="34"/>
  <c r="DQ18" i="34"/>
  <c r="DJ18" i="34"/>
  <c r="DW21" i="34"/>
  <c r="ER23" i="34"/>
  <c r="BE11" i="34"/>
  <c r="BF11" i="34" s="1"/>
  <c r="BE39" i="34"/>
  <c r="BF39" i="34" s="1"/>
  <c r="EQ52" i="34"/>
  <c r="BC11" i="34"/>
  <c r="BH11" i="34" s="1"/>
  <c r="DN20" i="34"/>
  <c r="DS20" i="34" s="1"/>
  <c r="BB11" i="34" s="1"/>
  <c r="DQ20" i="34"/>
  <c r="DG20" i="34"/>
  <c r="DL20" i="34" s="1"/>
  <c r="DJ20" i="34"/>
  <c r="DH20" i="34"/>
  <c r="DO20" i="34"/>
  <c r="DV20" i="34"/>
  <c r="DU20" i="34"/>
  <c r="DZ20" i="34" s="1"/>
  <c r="DP50" i="34"/>
  <c r="DX49" i="34"/>
  <c r="DG49" i="34"/>
  <c r="DL49" i="34" s="1"/>
  <c r="DO49" i="34"/>
  <c r="DN49" i="34"/>
  <c r="DS49" i="34" s="1"/>
  <c r="BB40" i="34" s="1"/>
  <c r="DQ49" i="34"/>
  <c r="DH49" i="34"/>
  <c r="DJ49" i="34"/>
  <c r="BC40" i="34"/>
  <c r="FF50" i="34" s="1"/>
  <c r="DX19" i="34"/>
  <c r="EE19" i="34"/>
  <c r="DU21" i="34"/>
  <c r="DZ21" i="34" s="1"/>
  <c r="EB20" i="34"/>
  <c r="EG20" i="34" s="1"/>
  <c r="ED23" i="34" s="1"/>
  <c r="BE9" i="34"/>
  <c r="BF9" i="34" s="1"/>
  <c r="EP23" i="34"/>
  <c r="ED50" i="34"/>
  <c r="EC21" i="34"/>
  <c r="ES23" i="34"/>
  <c r="BE12" i="34"/>
  <c r="BF12" i="34" s="1"/>
  <c r="BC38" i="34"/>
  <c r="FD50" i="34" s="1"/>
  <c r="FI50" i="34" s="1"/>
  <c r="DO47" i="34"/>
  <c r="DS47" i="34" s="1"/>
  <c r="BB38" i="34" s="1"/>
  <c r="DH47" i="34"/>
  <c r="DL47" i="34" s="1"/>
  <c r="DP47" i="34"/>
  <c r="DI47" i="34"/>
  <c r="DJ47" i="34"/>
  <c r="DQ47" i="34"/>
  <c r="EE47" i="34"/>
  <c r="EB50" i="34"/>
  <c r="EG50" i="34" s="1"/>
  <c r="EE52" i="34" s="1"/>
  <c r="DX47" i="34"/>
  <c r="DU50" i="34"/>
  <c r="DZ50" i="34" s="1"/>
  <c r="EB48" i="34"/>
  <c r="EG48" i="34" s="1"/>
  <c r="EC52" i="34" s="1"/>
  <c r="DJ47" i="13"/>
  <c r="DQ49" i="13"/>
  <c r="ED18" i="13"/>
  <c r="DW18" i="13"/>
  <c r="EE48" i="13"/>
  <c r="DH21" i="13"/>
  <c r="EC50" i="13"/>
  <c r="ED50" i="13"/>
  <c r="DQ48" i="13"/>
  <c r="EB20" i="13"/>
  <c r="EG20" i="13" s="1"/>
  <c r="ED23" i="13" s="1"/>
  <c r="EE20" i="13"/>
  <c r="DX49" i="13"/>
  <c r="EB50" i="13"/>
  <c r="EG50" i="13" s="1"/>
  <c r="EE52" i="13" s="1"/>
  <c r="DW50" i="13"/>
  <c r="DX48" i="13"/>
  <c r="BH38" i="13"/>
  <c r="BE9" i="13"/>
  <c r="BF9" i="13" s="1"/>
  <c r="EP23" i="13"/>
  <c r="BC9" i="13"/>
  <c r="EW21" i="13" s="1"/>
  <c r="FB21" i="13" s="1"/>
  <c r="DJ18" i="13"/>
  <c r="DP18" i="13"/>
  <c r="DI18" i="13"/>
  <c r="DO18" i="13"/>
  <c r="DS18" i="13" s="1"/>
  <c r="BB9" i="13" s="1"/>
  <c r="BH9" i="13" s="1"/>
  <c r="DH18" i="13"/>
  <c r="DL18" i="13" s="1"/>
  <c r="DQ18" i="13"/>
  <c r="FD49" i="13"/>
  <c r="FI49" i="13" s="1"/>
  <c r="FE49" i="13"/>
  <c r="EW49" i="13"/>
  <c r="FB49" i="13" s="1"/>
  <c r="EX49" i="13"/>
  <c r="EC21" i="13"/>
  <c r="BC10" i="13"/>
  <c r="EX21" i="13" s="1"/>
  <c r="DJ19" i="13"/>
  <c r="DN19" i="13"/>
  <c r="DS19" i="13" s="1"/>
  <c r="BB10" i="13" s="1"/>
  <c r="DP19" i="13"/>
  <c r="DI19" i="13"/>
  <c r="DQ19" i="13"/>
  <c r="DG19" i="13"/>
  <c r="DL19" i="13" s="1"/>
  <c r="DW19" i="13"/>
  <c r="ED19" i="13"/>
  <c r="FE21" i="13"/>
  <c r="BE41" i="13"/>
  <c r="BF41" i="13" s="1"/>
  <c r="ES52" i="13"/>
  <c r="EW48" i="13"/>
  <c r="FB48" i="13" s="1"/>
  <c r="FF48" i="13"/>
  <c r="EY48" i="13"/>
  <c r="FD48" i="13"/>
  <c r="FI48" i="13" s="1"/>
  <c r="BE12" i="13"/>
  <c r="BF12" i="13" s="1"/>
  <c r="ES23" i="13"/>
  <c r="DN21" i="13"/>
  <c r="DS21" i="13" s="1"/>
  <c r="BB12" i="13" s="1"/>
  <c r="BH12" i="13" s="1"/>
  <c r="DV20" i="13"/>
  <c r="ER23" i="13"/>
  <c r="BE11" i="13"/>
  <c r="BF11" i="13" s="1"/>
  <c r="DN20" i="13"/>
  <c r="DS20" i="13" s="1"/>
  <c r="BB11" i="13" s="1"/>
  <c r="DO20" i="13"/>
  <c r="EC20" i="13"/>
  <c r="DQ20" i="13"/>
  <c r="DX20" i="13"/>
  <c r="DH20" i="13"/>
  <c r="DJ20" i="13"/>
  <c r="DG20" i="13"/>
  <c r="DL20" i="13" s="1"/>
  <c r="BC11" i="13"/>
  <c r="DU20" i="13"/>
  <c r="DZ20" i="13" s="1"/>
  <c r="BH40" i="13"/>
  <c r="BH39" i="13"/>
  <c r="EX47" i="13"/>
  <c r="FB47" i="13" s="1"/>
  <c r="FB52" i="13" s="1"/>
  <c r="FF47" i="13"/>
  <c r="EY47" i="13"/>
  <c r="FE47" i="13"/>
  <c r="FI47" i="13" s="1"/>
  <c r="FI52" i="13" s="1"/>
  <c r="DU19" i="13"/>
  <c r="DZ19" i="13" s="1"/>
  <c r="BE10" i="13"/>
  <c r="BF10" i="13" s="1"/>
  <c r="EQ23" i="13"/>
  <c r="DN50" i="13"/>
  <c r="DS50" i="13" s="1"/>
  <c r="BB41" i="13" s="1"/>
  <c r="BH41" i="13" s="1"/>
  <c r="DG50" i="13"/>
  <c r="DL50" i="13" s="1"/>
  <c r="DO50" i="13"/>
  <c r="DH50" i="13"/>
  <c r="DP50" i="13"/>
  <c r="DI50" i="13"/>
  <c r="BC41" i="13"/>
  <c r="EZ47" i="13" s="1"/>
  <c r="ED21" i="13"/>
  <c r="BK12" i="36"/>
  <c r="AV12" i="36"/>
  <c r="BK38" i="38"/>
  <c r="BO38" i="38"/>
  <c r="AV38" i="38"/>
  <c r="AV39" i="36"/>
  <c r="BK39" i="36"/>
  <c r="AV39" i="38"/>
  <c r="BK39" i="38"/>
  <c r="BO39" i="38"/>
  <c r="BO38" i="36"/>
  <c r="FE47" i="36"/>
  <c r="FI47" i="36" s="1"/>
  <c r="FI52" i="36" s="1"/>
  <c r="EW48" i="36"/>
  <c r="FB48" i="36" s="1"/>
  <c r="EX47" i="36"/>
  <c r="FB47" i="36" s="1"/>
  <c r="FB52" i="36" s="1"/>
  <c r="FD48" i="36"/>
  <c r="FI48" i="36" s="1"/>
  <c r="FF47" i="38"/>
  <c r="EZ47" i="38"/>
  <c r="FG47" i="38"/>
  <c r="FE47" i="38"/>
  <c r="FI47" i="38" s="1"/>
  <c r="FI52" i="38" s="1"/>
  <c r="EX47" i="38"/>
  <c r="FB47" i="38" s="1"/>
  <c r="FB52" i="38" s="1"/>
  <c r="FD50" i="38"/>
  <c r="FI50" i="38" s="1"/>
  <c r="FD21" i="36"/>
  <c r="FI21" i="36" s="1"/>
  <c r="FF21" i="36"/>
  <c r="FE21" i="36"/>
  <c r="EZ18" i="36"/>
  <c r="EW19" i="38"/>
  <c r="FB19" i="38" s="1"/>
  <c r="FF19" i="38"/>
  <c r="FG19" i="38"/>
  <c r="EX21" i="38"/>
  <c r="EY19" i="38"/>
  <c r="FD19" i="38"/>
  <c r="FI19" i="38" s="1"/>
  <c r="FE21" i="38"/>
  <c r="EZ19" i="38"/>
  <c r="EX20" i="38"/>
  <c r="FD48" i="38"/>
  <c r="FI48" i="38" s="1"/>
  <c r="FG48" i="38"/>
  <c r="EW48" i="38"/>
  <c r="FB48" i="38" s="1"/>
  <c r="EX49" i="38"/>
  <c r="FF48" i="38"/>
  <c r="EZ48" i="38"/>
  <c r="AV10" i="38"/>
  <c r="BK10" i="38"/>
  <c r="BO10" i="38"/>
  <c r="EX50" i="38"/>
  <c r="EW49" i="38"/>
  <c r="FB49" i="38" s="1"/>
  <c r="BO9" i="38"/>
  <c r="BK9" i="38"/>
  <c r="AV9" i="38"/>
  <c r="FD49" i="38"/>
  <c r="FI49" i="38" s="1"/>
  <c r="EY21" i="36"/>
  <c r="EW20" i="36"/>
  <c r="FB20" i="36" s="1"/>
  <c r="FG20" i="36"/>
  <c r="FF19" i="36"/>
  <c r="FF18" i="36"/>
  <c r="EZ20" i="36"/>
  <c r="EW50" i="38"/>
  <c r="FB50" i="38" s="1"/>
  <c r="FE18" i="38"/>
  <c r="FI18" i="38" s="1"/>
  <c r="FI23" i="38" s="1"/>
  <c r="EX18" i="38"/>
  <c r="FB18" i="38" s="1"/>
  <c r="FB23" i="38" s="1"/>
  <c r="FE49" i="36"/>
  <c r="BO11" i="38"/>
  <c r="FE49" i="38" l="1"/>
  <c r="EY47" i="38"/>
  <c r="AV41" i="38"/>
  <c r="BK41" i="38"/>
  <c r="FG49" i="38"/>
  <c r="FF50" i="38"/>
  <c r="EZ49" i="38"/>
  <c r="EY50" i="38"/>
  <c r="BH12" i="38"/>
  <c r="BH40" i="38"/>
  <c r="FD21" i="38"/>
  <c r="FI21" i="38" s="1"/>
  <c r="EY21" i="38"/>
  <c r="EZ18" i="38"/>
  <c r="EZ20" i="38"/>
  <c r="FF21" i="38"/>
  <c r="FG20" i="38"/>
  <c r="FG18" i="38"/>
  <c r="EW21" i="38"/>
  <c r="FB21" i="38" s="1"/>
  <c r="FG18" i="36"/>
  <c r="EY18" i="36"/>
  <c r="FD20" i="36"/>
  <c r="FI20" i="36" s="1"/>
  <c r="EY47" i="36"/>
  <c r="EW49" i="36"/>
  <c r="FB49" i="36" s="1"/>
  <c r="FF47" i="36"/>
  <c r="EX49" i="36"/>
  <c r="FD49" i="36"/>
  <c r="FI49" i="36" s="1"/>
  <c r="EX20" i="36"/>
  <c r="FE50" i="36"/>
  <c r="FG19" i="36"/>
  <c r="EZ48" i="36"/>
  <c r="FF48" i="36"/>
  <c r="BO39" i="36"/>
  <c r="EX18" i="36"/>
  <c r="FB18" i="36" s="1"/>
  <c r="FB23" i="36" s="1"/>
  <c r="EY19" i="36"/>
  <c r="BK38" i="36"/>
  <c r="EZ19" i="36"/>
  <c r="FE20" i="36"/>
  <c r="EX50" i="36"/>
  <c r="EY48" i="36"/>
  <c r="BH40" i="36"/>
  <c r="AV11" i="36"/>
  <c r="BH41" i="36"/>
  <c r="BH9" i="36"/>
  <c r="BK11" i="36"/>
  <c r="EZ49" i="36"/>
  <c r="FF50" i="36"/>
  <c r="FG47" i="36"/>
  <c r="FG49" i="36"/>
  <c r="EW50" i="36"/>
  <c r="FB50" i="36" s="1"/>
  <c r="EY50" i="36"/>
  <c r="EZ47" i="36"/>
  <c r="FD50" i="36"/>
  <c r="FI50" i="36" s="1"/>
  <c r="EW19" i="36"/>
  <c r="FB19" i="36" s="1"/>
  <c r="FE18" i="36"/>
  <c r="FI18" i="36" s="1"/>
  <c r="FI23" i="36" s="1"/>
  <c r="FD19" i="36"/>
  <c r="FI19" i="36" s="1"/>
  <c r="BH10" i="36"/>
  <c r="BK41" i="34"/>
  <c r="BH38" i="34"/>
  <c r="AV38" i="34" s="1"/>
  <c r="BH39" i="34"/>
  <c r="BK11" i="34"/>
  <c r="AV11" i="34"/>
  <c r="FG18" i="34"/>
  <c r="EY18" i="34"/>
  <c r="EZ18" i="34"/>
  <c r="FE18" i="34"/>
  <c r="FI18" i="34" s="1"/>
  <c r="FI23" i="34" s="1"/>
  <c r="EX18" i="34"/>
  <c r="FB18" i="34" s="1"/>
  <c r="FB23" i="34" s="1"/>
  <c r="FF18" i="34"/>
  <c r="EW50" i="34"/>
  <c r="FB50" i="34" s="1"/>
  <c r="FE49" i="34"/>
  <c r="EZ49" i="34"/>
  <c r="FG49" i="34"/>
  <c r="EX49" i="34"/>
  <c r="FD49" i="34"/>
  <c r="FI49" i="34" s="1"/>
  <c r="EW49" i="34"/>
  <c r="FB49" i="34" s="1"/>
  <c r="EY50" i="34"/>
  <c r="BH40" i="34"/>
  <c r="BK39" i="34"/>
  <c r="AV39" i="34"/>
  <c r="BO39" i="34"/>
  <c r="BP39" i="34" s="1"/>
  <c r="BQ39" i="34" s="1"/>
  <c r="BR39" i="34" s="1"/>
  <c r="BH9" i="34"/>
  <c r="BO11" i="34" s="1"/>
  <c r="EW19" i="34"/>
  <c r="FB19" i="34" s="1"/>
  <c r="EZ19" i="34"/>
  <c r="FD19" i="34"/>
  <c r="FI19" i="34" s="1"/>
  <c r="EY19" i="34"/>
  <c r="FG19" i="34"/>
  <c r="FF19" i="34"/>
  <c r="EY21" i="34"/>
  <c r="FD21" i="34"/>
  <c r="FI21" i="34" s="1"/>
  <c r="EX21" i="34"/>
  <c r="FF21" i="34"/>
  <c r="EW21" i="34"/>
  <c r="FB21" i="34" s="1"/>
  <c r="FE21" i="34"/>
  <c r="EZ47" i="34"/>
  <c r="FG47" i="34"/>
  <c r="FE47" i="34"/>
  <c r="FI47" i="34" s="1"/>
  <c r="FI52" i="34" s="1"/>
  <c r="EY47" i="34"/>
  <c r="FF47" i="34"/>
  <c r="EX47" i="34"/>
  <c r="FB47" i="34" s="1"/>
  <c r="FB52" i="34" s="1"/>
  <c r="FG20" i="34"/>
  <c r="FE20" i="34"/>
  <c r="EX20" i="34"/>
  <c r="FD20" i="34"/>
  <c r="FI20" i="34" s="1"/>
  <c r="EW20" i="34"/>
  <c r="FB20" i="34" s="1"/>
  <c r="EZ20" i="34"/>
  <c r="FF48" i="34"/>
  <c r="FG48" i="34"/>
  <c r="EY48" i="34"/>
  <c r="EZ48" i="34"/>
  <c r="EW48" i="34"/>
  <c r="FB48" i="34" s="1"/>
  <c r="FD48" i="34"/>
  <c r="FI48" i="34" s="1"/>
  <c r="BH10" i="34"/>
  <c r="EX50" i="34"/>
  <c r="BH12" i="34"/>
  <c r="BO41" i="34"/>
  <c r="BP41" i="34" s="1"/>
  <c r="BQ41" i="34" s="1"/>
  <c r="BR41" i="34" s="1"/>
  <c r="FD21" i="13"/>
  <c r="FI21" i="13" s="1"/>
  <c r="BH11" i="13"/>
  <c r="AV41" i="13"/>
  <c r="BO41" i="13"/>
  <c r="BP41" i="13" s="1"/>
  <c r="BQ41" i="13" s="1"/>
  <c r="BR41" i="13" s="1"/>
  <c r="BK41" i="13"/>
  <c r="BK39" i="13"/>
  <c r="AV39" i="13"/>
  <c r="BO39" i="13"/>
  <c r="AV12" i="13"/>
  <c r="BK12" i="13"/>
  <c r="BO12" i="13"/>
  <c r="BP12" i="13" s="1"/>
  <c r="BQ12" i="13" s="1"/>
  <c r="BR12" i="13" s="1"/>
  <c r="BH10" i="13"/>
  <c r="EX20" i="13"/>
  <c r="EY21" i="13"/>
  <c r="EZ20" i="13"/>
  <c r="FG20" i="13"/>
  <c r="EW20" i="13"/>
  <c r="FB20" i="13" s="1"/>
  <c r="FD20" i="13"/>
  <c r="FI20" i="13" s="1"/>
  <c r="FE20" i="13"/>
  <c r="FF50" i="13"/>
  <c r="EX50" i="13"/>
  <c r="EZ48" i="13"/>
  <c r="EZ49" i="13"/>
  <c r="EY50" i="13"/>
  <c r="FE50" i="13"/>
  <c r="FD50" i="13"/>
  <c r="FI50" i="13" s="1"/>
  <c r="EW50" i="13"/>
  <c r="FB50" i="13" s="1"/>
  <c r="FG49" i="13"/>
  <c r="FG48" i="13"/>
  <c r="BK40" i="13"/>
  <c r="AV40" i="13"/>
  <c r="BO40" i="13"/>
  <c r="BP40" i="13" s="1"/>
  <c r="BQ40" i="13" s="1"/>
  <c r="BR40" i="13" s="1"/>
  <c r="FF21" i="13"/>
  <c r="BK38" i="13"/>
  <c r="AV38" i="13"/>
  <c r="BO38" i="13"/>
  <c r="BP38" i="13" s="1"/>
  <c r="BQ38" i="13" s="1"/>
  <c r="BR38" i="13" s="1"/>
  <c r="BO11" i="13"/>
  <c r="AV11" i="13"/>
  <c r="BK11" i="13"/>
  <c r="FG19" i="13"/>
  <c r="EW19" i="13"/>
  <c r="FB19" i="13" s="1"/>
  <c r="FF19" i="13"/>
  <c r="EZ19" i="13"/>
  <c r="FD19" i="13"/>
  <c r="FI19" i="13" s="1"/>
  <c r="EY19" i="13"/>
  <c r="AV9" i="13"/>
  <c r="BK9" i="13"/>
  <c r="BO9" i="13"/>
  <c r="FG18" i="13"/>
  <c r="FF18" i="13"/>
  <c r="EZ18" i="13"/>
  <c r="EX18" i="13"/>
  <c r="FB18" i="13" s="1"/>
  <c r="FB23" i="13" s="1"/>
  <c r="EY18" i="13"/>
  <c r="FE18" i="13"/>
  <c r="FI18" i="13" s="1"/>
  <c r="FI23" i="13" s="1"/>
  <c r="FG47" i="13"/>
  <c r="AM9" i="38"/>
  <c r="AO9" i="38" s="1"/>
  <c r="AM12" i="38"/>
  <c r="AO12" i="38" s="1"/>
  <c r="AM11" i="38"/>
  <c r="AO11" i="38" s="1"/>
  <c r="AM10" i="38"/>
  <c r="AO10" i="38" s="1"/>
  <c r="BP39" i="38"/>
  <c r="BQ39" i="38" s="1"/>
  <c r="BR39" i="38" s="1"/>
  <c r="BP39" i="36"/>
  <c r="BQ39" i="36" s="1"/>
  <c r="BR39" i="36" s="1"/>
  <c r="BP38" i="38"/>
  <c r="BQ38" i="38" s="1"/>
  <c r="BR38" i="38" s="1"/>
  <c r="BP11" i="38"/>
  <c r="BQ11" i="38" s="1"/>
  <c r="BR11" i="38" s="1"/>
  <c r="BP9" i="38"/>
  <c r="BQ9" i="38" s="1"/>
  <c r="BR9" i="38" s="1"/>
  <c r="AM39" i="36"/>
  <c r="AO39" i="36" s="1"/>
  <c r="AM38" i="36"/>
  <c r="AO38" i="36" s="1"/>
  <c r="AM40" i="36"/>
  <c r="AO40" i="36" s="1"/>
  <c r="AM41" i="36"/>
  <c r="AO41" i="36" s="1"/>
  <c r="AM38" i="38"/>
  <c r="AO38" i="38" s="1"/>
  <c r="AM41" i="38"/>
  <c r="AO41" i="38" s="1"/>
  <c r="AM40" i="38"/>
  <c r="AO40" i="38" s="1"/>
  <c r="AM39" i="38"/>
  <c r="AO39" i="38" s="1"/>
  <c r="BP41" i="38"/>
  <c r="BQ41" i="38" s="1"/>
  <c r="BR41" i="38" s="1"/>
  <c r="BP10" i="38"/>
  <c r="BQ10" i="38" s="1"/>
  <c r="BR10" i="38" s="1"/>
  <c r="BP38" i="36"/>
  <c r="BQ38" i="36" s="1"/>
  <c r="BR38" i="36" s="1"/>
  <c r="BO40" i="38" l="1"/>
  <c r="BP40" i="38" s="1"/>
  <c r="BQ40" i="38" s="1"/>
  <c r="BR40" i="38" s="1"/>
  <c r="BK40" i="38"/>
  <c r="AV40" i="38"/>
  <c r="BK12" i="38"/>
  <c r="BO12" i="38"/>
  <c r="BP12" i="38" s="1"/>
  <c r="BQ12" i="38" s="1"/>
  <c r="BR12" i="38" s="1"/>
  <c r="AV12" i="38"/>
  <c r="BO40" i="36"/>
  <c r="BP40" i="36" s="1"/>
  <c r="BQ40" i="36" s="1"/>
  <c r="BR40" i="36" s="1"/>
  <c r="BK40" i="36"/>
  <c r="AV40" i="36"/>
  <c r="AV9" i="36"/>
  <c r="BO9" i="36"/>
  <c r="BP9" i="36" s="1"/>
  <c r="BQ9" i="36" s="1"/>
  <c r="BR9" i="36" s="1"/>
  <c r="BK9" i="36"/>
  <c r="BO12" i="36"/>
  <c r="BK41" i="36"/>
  <c r="AV41" i="36"/>
  <c r="BO41" i="36"/>
  <c r="BP41" i="36" s="1"/>
  <c r="BQ41" i="36" s="1"/>
  <c r="BR41" i="36" s="1"/>
  <c r="BK10" i="36"/>
  <c r="AV10" i="36"/>
  <c r="BO10" i="36"/>
  <c r="BP10" i="36" s="1"/>
  <c r="BQ10" i="36" s="1"/>
  <c r="BR10" i="36" s="1"/>
  <c r="BO11" i="36"/>
  <c r="BP11" i="36" s="1"/>
  <c r="BQ11" i="36" s="1"/>
  <c r="BR11" i="36" s="1"/>
  <c r="BK38" i="34"/>
  <c r="BO38" i="34"/>
  <c r="BP38" i="34" s="1"/>
  <c r="BQ38" i="34" s="1"/>
  <c r="BR38" i="34" s="1"/>
  <c r="BP11" i="34"/>
  <c r="BQ11" i="34" s="1"/>
  <c r="BR11" i="34" s="1"/>
  <c r="AM40" i="34"/>
  <c r="AO40" i="34" s="1"/>
  <c r="AM39" i="34"/>
  <c r="AO39" i="34" s="1"/>
  <c r="AM41" i="34"/>
  <c r="AO41" i="34" s="1"/>
  <c r="AM38" i="34"/>
  <c r="AO38" i="34" s="1"/>
  <c r="BO10" i="34"/>
  <c r="BP10" i="34" s="1"/>
  <c r="BQ10" i="34" s="1"/>
  <c r="BR10" i="34" s="1"/>
  <c r="BK10" i="34"/>
  <c r="AV10" i="34"/>
  <c r="BK12" i="34"/>
  <c r="AV12" i="34"/>
  <c r="BO12" i="34"/>
  <c r="BP12" i="34" s="1"/>
  <c r="BQ12" i="34" s="1"/>
  <c r="BR12" i="34" s="1"/>
  <c r="BK9" i="34"/>
  <c r="AV9" i="34"/>
  <c r="BO9" i="34"/>
  <c r="BP9" i="34" s="1"/>
  <c r="BQ9" i="34" s="1"/>
  <c r="BR9" i="34" s="1"/>
  <c r="AV40" i="34"/>
  <c r="BK40" i="34"/>
  <c r="BO40" i="34"/>
  <c r="AM41" i="13"/>
  <c r="AO41" i="13" s="1"/>
  <c r="AM39" i="13"/>
  <c r="AO39" i="13" s="1"/>
  <c r="AM38" i="13"/>
  <c r="AO38" i="13" s="1"/>
  <c r="AM40" i="13"/>
  <c r="AO40" i="13" s="1"/>
  <c r="BP11" i="13"/>
  <c r="BQ11" i="13" s="1"/>
  <c r="BR11" i="13" s="1"/>
  <c r="AV10" i="13"/>
  <c r="BO10" i="13"/>
  <c r="BP10" i="13" s="1"/>
  <c r="BQ10" i="13" s="1"/>
  <c r="BR10" i="13" s="1"/>
  <c r="BK10" i="13"/>
  <c r="BP39" i="13"/>
  <c r="BQ39" i="13" s="1"/>
  <c r="BR39" i="13" s="1"/>
  <c r="BP9" i="13"/>
  <c r="BQ9" i="13" s="1"/>
  <c r="BR9" i="13" s="1"/>
  <c r="AM9" i="13"/>
  <c r="AO9" i="13" s="1"/>
  <c r="AM11" i="13"/>
  <c r="AO11" i="13" s="1"/>
  <c r="AM10" i="13"/>
  <c r="AO10" i="13" s="1"/>
  <c r="AM12" i="13"/>
  <c r="AO12" i="13" s="1"/>
  <c r="BP12" i="36" l="1"/>
  <c r="BQ12" i="36" s="1"/>
  <c r="BR12" i="36" s="1"/>
  <c r="AM12" i="36"/>
  <c r="AO12" i="36" s="1"/>
  <c r="AM11" i="36"/>
  <c r="AO11" i="36" s="1"/>
  <c r="AM9" i="36"/>
  <c r="AO9" i="36" s="1"/>
  <c r="AM10" i="36"/>
  <c r="AO10" i="36" s="1"/>
  <c r="BP40" i="34"/>
  <c r="BQ40" i="34" s="1"/>
  <c r="BR40" i="34" s="1"/>
  <c r="AM12" i="34"/>
  <c r="AO12" i="34" s="1"/>
  <c r="AM9" i="34"/>
  <c r="AO9" i="34" s="1"/>
  <c r="AM11" i="34"/>
  <c r="AO11" i="34" s="1"/>
  <c r="AM10" i="34"/>
  <c r="AO10" i="34" s="1"/>
</calcChain>
</file>

<file path=xl/sharedStrings.xml><?xml version="1.0" encoding="utf-8"?>
<sst xmlns="http://schemas.openxmlformats.org/spreadsheetml/2006/main" count="4038" uniqueCount="347">
  <si>
    <t>FEDERATION FRANCAISE</t>
  </si>
  <si>
    <t>DE TENNIS DE TABLE</t>
  </si>
  <si>
    <t>POULE :</t>
  </si>
  <si>
    <t>OK</t>
  </si>
  <si>
    <t>Classement</t>
  </si>
  <si>
    <t xml:space="preserve"> </t>
  </si>
  <si>
    <t>LIEU :</t>
  </si>
  <si>
    <t>DATE :</t>
  </si>
  <si>
    <t>Dossard</t>
  </si>
  <si>
    <t>contre</t>
  </si>
  <si>
    <t>VICTOIRES</t>
  </si>
  <si>
    <t>Catégorie :</t>
  </si>
  <si>
    <t>ASSOCIATION</t>
  </si>
  <si>
    <t>-</t>
  </si>
  <si>
    <t>Dos.</t>
  </si>
  <si>
    <t>NOM et Prénom</t>
  </si>
  <si>
    <t>N° Licence</t>
  </si>
  <si>
    <t>TOTAL des VICTOIRES</t>
  </si>
  <si>
    <t xml:space="preserve">CLASSEMENT DE 1 A 4 </t>
  </si>
  <si>
    <t>MANCHES</t>
  </si>
  <si>
    <t>NOM  et PRENOM</t>
  </si>
  <si>
    <t>Sa</t>
  </si>
  <si>
    <t>IG1</t>
  </si>
  <si>
    <t>CLASSEMENT POULE</t>
  </si>
  <si>
    <t>QUOTIENTS</t>
  </si>
  <si>
    <t>PART</t>
  </si>
  <si>
    <t>P2</t>
  </si>
  <si>
    <t xml:space="preserve"> SETS</t>
  </si>
  <si>
    <t>P3</t>
  </si>
  <si>
    <t>S2</t>
  </si>
  <si>
    <t xml:space="preserve"> PTS</t>
  </si>
  <si>
    <t>CORRIGEES</t>
  </si>
  <si>
    <t>PLACES</t>
  </si>
  <si>
    <t>A</t>
  </si>
  <si>
    <t>1er</t>
  </si>
  <si>
    <t>B</t>
  </si>
  <si>
    <t>C</t>
  </si>
  <si>
    <t>POULE</t>
  </si>
  <si>
    <t>POINTS VICTOIRE</t>
  </si>
  <si>
    <t>PERDUES A</t>
  </si>
  <si>
    <t>TOTAL</t>
  </si>
  <si>
    <t>PARTIES GAGNEES</t>
  </si>
  <si>
    <t>PARTIES PERDUES</t>
  </si>
  <si>
    <t>MANCHES  GAGNEES</t>
  </si>
  <si>
    <t>MANCHES  PERDUES</t>
  </si>
  <si>
    <t>POINTS GAGNES</t>
  </si>
  <si>
    <t>POINTS PERDUS</t>
  </si>
  <si>
    <t>PARTIES</t>
  </si>
  <si>
    <t>VAINQUEUR</t>
  </si>
  <si>
    <t xml:space="preserve">  +</t>
  </si>
  <si>
    <t xml:space="preserve">  -</t>
  </si>
  <si>
    <t>somme</t>
  </si>
  <si>
    <t xml:space="preserve">  PARTIES</t>
  </si>
  <si>
    <t>XXX</t>
  </si>
  <si>
    <t>PARTIES GAGNEES ex aequo</t>
  </si>
  <si>
    <t>PARTIES PERDUES ex aequo</t>
  </si>
  <si>
    <t>MANCHES  GAGNEES ex aequo</t>
  </si>
  <si>
    <t>MANCHES  PERDUES ex aequo</t>
  </si>
  <si>
    <t>COIPOSITION    POULE</t>
  </si>
  <si>
    <t>2ème</t>
  </si>
  <si>
    <t>3ème</t>
  </si>
  <si>
    <t>D</t>
  </si>
  <si>
    <t>4ème</t>
  </si>
  <si>
    <t>E</t>
  </si>
  <si>
    <t>Manche1</t>
  </si>
  <si>
    <t>Manche2</t>
  </si>
  <si>
    <t>Manche3</t>
  </si>
  <si>
    <t>Manche4</t>
  </si>
  <si>
    <t>Manche5</t>
  </si>
  <si>
    <t>MANCHES GAGNEES A</t>
  </si>
  <si>
    <t>joueur A</t>
  </si>
  <si>
    <t xml:space="preserve">  </t>
  </si>
  <si>
    <t>TOTAL VICTOIRES</t>
  </si>
  <si>
    <t>F</t>
  </si>
  <si>
    <t>G</t>
  </si>
  <si>
    <t>H</t>
  </si>
  <si>
    <t>I</t>
  </si>
  <si>
    <t>J</t>
  </si>
  <si>
    <t>K</t>
  </si>
  <si>
    <t>L</t>
  </si>
  <si>
    <t>CLUB</t>
  </si>
  <si>
    <t>Cla.</t>
  </si>
  <si>
    <t>Cat.</t>
  </si>
  <si>
    <t>Heure :</t>
  </si>
  <si>
    <t>Tableau:</t>
  </si>
  <si>
    <t xml:space="preserve">Arbitre : </t>
  </si>
  <si>
    <t>PARTIE</t>
  </si>
  <si>
    <t>J+R 1</t>
  </si>
  <si>
    <t>J+R 2</t>
  </si>
  <si>
    <t>Sitôt la partie terminée ; rapporter cette fiche à la table du Juge Arbitre;</t>
  </si>
  <si>
    <t>CARTONS</t>
  </si>
  <si>
    <t>Signature de l' Arbitre :</t>
  </si>
  <si>
    <t>Premier service : GAUCHE - DROITE</t>
  </si>
  <si>
    <t>N° Association</t>
  </si>
  <si>
    <t>Poules</t>
  </si>
  <si>
    <t>Barrages 2ème/3ème</t>
  </si>
  <si>
    <t>1/4 de F</t>
  </si>
  <si>
    <t>1/2 de F</t>
  </si>
  <si>
    <t>Finale</t>
  </si>
  <si>
    <t>O</t>
  </si>
  <si>
    <t>W</t>
  </si>
  <si>
    <t>P</t>
  </si>
  <si>
    <t>Y'</t>
  </si>
  <si>
    <t>Q</t>
  </si>
  <si>
    <t>X</t>
  </si>
  <si>
    <t>R</t>
  </si>
  <si>
    <t>S</t>
  </si>
  <si>
    <t>Y</t>
  </si>
  <si>
    <t>T</t>
  </si>
  <si>
    <t>Z'</t>
  </si>
  <si>
    <t>U</t>
  </si>
  <si>
    <t>M</t>
  </si>
  <si>
    <t>Z</t>
  </si>
  <si>
    <t>V</t>
  </si>
  <si>
    <t>N</t>
  </si>
  <si>
    <t>Tirage fait</t>
  </si>
  <si>
    <t>Places n° 19 et 20</t>
  </si>
  <si>
    <t>Places n° 3 et 4</t>
  </si>
  <si>
    <t>Battu Y'</t>
  </si>
  <si>
    <t>Battu A</t>
  </si>
  <si>
    <t>Battu Z'</t>
  </si>
  <si>
    <t>Battu B</t>
  </si>
  <si>
    <t>Battu W</t>
  </si>
  <si>
    <t>Battu C</t>
  </si>
  <si>
    <t>Battu X</t>
  </si>
  <si>
    <t>Battu D</t>
  </si>
  <si>
    <t>Battu Y</t>
  </si>
  <si>
    <t>Battu E</t>
  </si>
  <si>
    <t>Battu Z</t>
  </si>
  <si>
    <t>Battu F</t>
  </si>
  <si>
    <t>Barrages des battus en 1/8 Finale KO</t>
  </si>
  <si>
    <t>Barrages des battus en 1/8 Finale</t>
  </si>
  <si>
    <t>Battu O</t>
  </si>
  <si>
    <t>Battu G</t>
  </si>
  <si>
    <t>Battu P</t>
  </si>
  <si>
    <t>Battu H</t>
  </si>
  <si>
    <t>P'</t>
  </si>
  <si>
    <t>O'</t>
  </si>
  <si>
    <t>H'</t>
  </si>
  <si>
    <t>Q'</t>
  </si>
  <si>
    <t>Battu Q</t>
  </si>
  <si>
    <t>Battu I</t>
  </si>
  <si>
    <t>Battu R</t>
  </si>
  <si>
    <t>Battu J</t>
  </si>
  <si>
    <t>Battu S</t>
  </si>
  <si>
    <t>Battu K</t>
  </si>
  <si>
    <t>Battu T</t>
  </si>
  <si>
    <t>Battu L</t>
  </si>
  <si>
    <t>T'</t>
  </si>
  <si>
    <t>S'</t>
  </si>
  <si>
    <t>L'</t>
  </si>
  <si>
    <t>K'</t>
  </si>
  <si>
    <t>Battu U</t>
  </si>
  <si>
    <t>Battu M</t>
  </si>
  <si>
    <t>Battu V</t>
  </si>
  <si>
    <t>Battu N</t>
  </si>
  <si>
    <t>Battu P'</t>
  </si>
  <si>
    <t>Battu O'</t>
  </si>
  <si>
    <t>Battu H'</t>
  </si>
  <si>
    <t>Battu Q'</t>
  </si>
  <si>
    <t>Battu T'</t>
  </si>
  <si>
    <t>Battu S'</t>
  </si>
  <si>
    <t>Battu L'</t>
  </si>
  <si>
    <t>Battu K'</t>
  </si>
  <si>
    <t>Tour</t>
  </si>
  <si>
    <t>N°</t>
  </si>
  <si>
    <t>N° de Licence</t>
  </si>
  <si>
    <t>Nom et Prénom</t>
  </si>
  <si>
    <t>Catégorie</t>
  </si>
  <si>
    <t>Association</t>
  </si>
  <si>
    <t>Total Points</t>
  </si>
  <si>
    <t>SAISON</t>
  </si>
  <si>
    <t>SAISON:</t>
  </si>
  <si>
    <t>Lieu:</t>
  </si>
  <si>
    <t>Catégories:</t>
  </si>
  <si>
    <t>Date:</t>
  </si>
  <si>
    <t xml:space="preserve">Poule </t>
  </si>
  <si>
    <t>Heure début</t>
  </si>
  <si>
    <t>Table</t>
  </si>
  <si>
    <t>Tableau</t>
  </si>
  <si>
    <t>Barrage 2/3</t>
  </si>
  <si>
    <t>Heure</t>
  </si>
  <si>
    <t>Saison</t>
  </si>
  <si>
    <t>Jour:</t>
  </si>
  <si>
    <t>Di</t>
  </si>
  <si>
    <t>17 - 16</t>
  </si>
  <si>
    <t>9 - 24</t>
  </si>
  <si>
    <t>21 - 12</t>
  </si>
  <si>
    <t>13 - 20</t>
  </si>
  <si>
    <t>19 - 14</t>
  </si>
  <si>
    <t>11 - 22</t>
  </si>
  <si>
    <t>23 - 10</t>
  </si>
  <si>
    <t>15 - 18</t>
  </si>
  <si>
    <t>Places 17 à 32</t>
  </si>
  <si>
    <t>1/8è de Finale</t>
  </si>
  <si>
    <t>Pl 17 à 32</t>
  </si>
  <si>
    <t>1/8 Finale</t>
  </si>
  <si>
    <t>Places 17 à 24</t>
  </si>
  <si>
    <t>Places 25 à 32</t>
  </si>
  <si>
    <t>Pl 17 à 24</t>
  </si>
  <si>
    <t>Pl 25 à 32</t>
  </si>
  <si>
    <t>1/8 F - KO</t>
  </si>
  <si>
    <t>1/4 F - KO</t>
  </si>
  <si>
    <t>battu O/P</t>
  </si>
  <si>
    <t>battu Q/R</t>
  </si>
  <si>
    <t>battu S/T</t>
  </si>
  <si>
    <t>battu U/V</t>
  </si>
  <si>
    <t>1/4 de Finale</t>
  </si>
  <si>
    <t>Places 9 à 16</t>
  </si>
  <si>
    <t>battu I/J</t>
  </si>
  <si>
    <t>battu K/L</t>
  </si>
  <si>
    <t>battu M/N</t>
  </si>
  <si>
    <t>battu G/H</t>
  </si>
  <si>
    <t>Pl 9 à 16</t>
  </si>
  <si>
    <t>1/2 F - KO</t>
  </si>
  <si>
    <t>Pl 17 à 20</t>
  </si>
  <si>
    <t>Pl 21 à 24</t>
  </si>
  <si>
    <t>Pl 25 à 28</t>
  </si>
  <si>
    <t>Pl 29 à 32</t>
  </si>
  <si>
    <t>Places 17 à 20</t>
  </si>
  <si>
    <t>battu W/X</t>
  </si>
  <si>
    <t>battu Y/Z</t>
  </si>
  <si>
    <t>Places 25 à 28</t>
  </si>
  <si>
    <t>Places 29 à 32</t>
  </si>
  <si>
    <t>Places 21 à 24</t>
  </si>
  <si>
    <t>1/4 Finale</t>
  </si>
  <si>
    <t>1/2 Finale</t>
  </si>
  <si>
    <t>Pl 5 à 8</t>
  </si>
  <si>
    <t>Pl 9 à 12</t>
  </si>
  <si>
    <t>Pl 13 à 16</t>
  </si>
  <si>
    <t>Places 13 à 16</t>
  </si>
  <si>
    <t>battu C/D</t>
  </si>
  <si>
    <t>battu E/F</t>
  </si>
  <si>
    <t>Places 9 à 12</t>
  </si>
  <si>
    <t>1/2 de Finale</t>
  </si>
  <si>
    <t>Places 5 à 8</t>
  </si>
  <si>
    <t>Classement 17 à 32</t>
  </si>
  <si>
    <t>Classement 1 à 16</t>
  </si>
  <si>
    <t>Pl 19 et 20</t>
  </si>
  <si>
    <t>Pl 21 et 22</t>
  </si>
  <si>
    <t>Pl 17 / 18</t>
  </si>
  <si>
    <t>Pl 23 et 24</t>
  </si>
  <si>
    <t>Pl 25 et 26</t>
  </si>
  <si>
    <t>Pl 27 et 28</t>
  </si>
  <si>
    <t>Pl 31 et 32</t>
  </si>
  <si>
    <t>Pl 1 et 2</t>
  </si>
  <si>
    <t>Pl 3 et 4</t>
  </si>
  <si>
    <t>Pl 5 et 6</t>
  </si>
  <si>
    <t>Pl 7 et 8</t>
  </si>
  <si>
    <t>Pl 9 et 10</t>
  </si>
  <si>
    <t>Pl 11 et 12</t>
  </si>
  <si>
    <t>Pl 15 et 16</t>
  </si>
  <si>
    <t>Pl 13 et 14</t>
  </si>
  <si>
    <t>Pl 29 et 30</t>
  </si>
  <si>
    <t>Places 17 et 18</t>
  </si>
  <si>
    <t>Places 21 et 22</t>
  </si>
  <si>
    <t>Places 23 et 24</t>
  </si>
  <si>
    <t>Places 25 et 26</t>
  </si>
  <si>
    <t>Places 27 et 28</t>
  </si>
  <si>
    <t>Places 29 et 30</t>
  </si>
  <si>
    <t>Places 31 et 32</t>
  </si>
  <si>
    <t>Places 19 et 20</t>
  </si>
  <si>
    <t>Places 5 et 6</t>
  </si>
  <si>
    <t>Places 7 et 8</t>
  </si>
  <si>
    <t>Places 9 et 10</t>
  </si>
  <si>
    <t>Places 11 et 12</t>
  </si>
  <si>
    <t>Places 13 et 14</t>
  </si>
  <si>
    <t>Places 15 et 16</t>
  </si>
  <si>
    <t>FINALE</t>
  </si>
  <si>
    <t>Places 3 et 4</t>
  </si>
  <si>
    <t>Barrages 2è/3è</t>
  </si>
  <si>
    <t>Points</t>
  </si>
  <si>
    <t>Remise à 0 des poules:</t>
  </si>
  <si>
    <t>Remise à 0 du Tableau</t>
  </si>
  <si>
    <t xml:space="preserve">Remplir à gauche les caractéristiques </t>
  </si>
  <si>
    <t>de la compétition dans les cases</t>
  </si>
  <si>
    <t>Remplir la liste des inscrits</t>
  </si>
  <si>
    <t xml:space="preserve">Modifier les poules si besoin en inversant </t>
  </si>
  <si>
    <t>les numéros de dossard dans les poules</t>
  </si>
  <si>
    <t>servez vous des boutons macros pour</t>
  </si>
  <si>
    <t>l'impression des fiches de parties</t>
  </si>
  <si>
    <t>Tapez "O" dans la case Tirage au sort fait</t>
  </si>
  <si>
    <t>quand celui est fait ce qui provoque:</t>
  </si>
  <si>
    <t xml:space="preserve">     a) mise en place automatique des joueurs</t>
  </si>
  <si>
    <t xml:space="preserve">     b) apparition des numéros de table.</t>
  </si>
  <si>
    <t>Juge arbitre</t>
  </si>
  <si>
    <t>POINTS</t>
  </si>
  <si>
    <t>TABLE :</t>
  </si>
  <si>
    <t/>
  </si>
  <si>
    <r>
      <t>1</t>
    </r>
    <r>
      <rPr>
        <b/>
        <vertAlign val="superscript"/>
        <sz val="10"/>
        <rFont val="Calibri"/>
        <family val="2"/>
      </rPr>
      <t>er</t>
    </r>
  </si>
  <si>
    <r>
      <t>2</t>
    </r>
    <r>
      <rPr>
        <b/>
        <vertAlign val="superscript"/>
        <sz val="10"/>
        <rFont val="Calibri"/>
        <family val="2"/>
      </rPr>
      <t>ème</t>
    </r>
  </si>
  <si>
    <r>
      <t>3</t>
    </r>
    <r>
      <rPr>
        <b/>
        <vertAlign val="superscript"/>
        <sz val="10"/>
        <rFont val="Calibri"/>
        <family val="2"/>
      </rPr>
      <t>ème</t>
    </r>
  </si>
  <si>
    <r>
      <t>4</t>
    </r>
    <r>
      <rPr>
        <b/>
        <vertAlign val="superscript"/>
        <sz val="10"/>
        <rFont val="Calibri"/>
        <family val="2"/>
      </rPr>
      <t>ème</t>
    </r>
  </si>
  <si>
    <t>Le Juge-Arbitre</t>
  </si>
  <si>
    <t>Le Juge-Arbitre :</t>
  </si>
  <si>
    <t>Le Juge-Aarbitre :</t>
  </si>
  <si>
    <t>Compétition</t>
  </si>
  <si>
    <t>Date</t>
  </si>
  <si>
    <t>Poule :</t>
  </si>
  <si>
    <t>Circuit décathlon</t>
  </si>
  <si>
    <t>2018/2019</t>
  </si>
  <si>
    <t>LE GRAND LUCE USTT</t>
  </si>
  <si>
    <t>FOULLETOURTE T.T.</t>
  </si>
  <si>
    <t>RUAUDIN TENNIS DE TABLE</t>
  </si>
  <si>
    <t>MONCE TENNIS DE TABLE</t>
  </si>
  <si>
    <t>SAINTE JAMME TT</t>
  </si>
  <si>
    <t>MAMERS CS</t>
  </si>
  <si>
    <t>Champagné</t>
  </si>
  <si>
    <t>Minimes</t>
  </si>
  <si>
    <t>LAIGNE ST GERVAIS CO</t>
  </si>
  <si>
    <t>COULAINES JS</t>
  </si>
  <si>
    <t>LE MANS ASPTT</t>
  </si>
  <si>
    <t>MONTFORT TT</t>
  </si>
  <si>
    <t>FERCE US</t>
  </si>
  <si>
    <t>CHANGE TT</t>
  </si>
  <si>
    <t>LA CHAPELLE ALTT</t>
  </si>
  <si>
    <t>POIX--DOUILLARD Alexis</t>
  </si>
  <si>
    <t>HATTON Pierre</t>
  </si>
  <si>
    <t>PORTEBOEUF Louis</t>
  </si>
  <si>
    <t>MARCHAIS Théo</t>
  </si>
  <si>
    <t>BAUDET Léandre</t>
  </si>
  <si>
    <t>ESVAN Corentin</t>
  </si>
  <si>
    <t>DINOCHAU Noé</t>
  </si>
  <si>
    <t>JUHEL Ethan</t>
  </si>
  <si>
    <t>GUIVARCH Leon</t>
  </si>
  <si>
    <t>DORDAIN Sacha</t>
  </si>
  <si>
    <t>LAIR Enzo</t>
  </si>
  <si>
    <t>RENAUD Simon</t>
  </si>
  <si>
    <t>MANDOTE Jean</t>
  </si>
  <si>
    <t>TARROUX Chloe</t>
  </si>
  <si>
    <t>CARRE Zoé</t>
  </si>
  <si>
    <t>BEAUDRON Mathias</t>
  </si>
  <si>
    <t>XAVIER Hugo</t>
  </si>
  <si>
    <t>DIALLO Medhi</t>
  </si>
  <si>
    <t>BERGE LEPARC Nolann</t>
  </si>
  <si>
    <t>CORVAISIER Bastien</t>
  </si>
  <si>
    <t>GIRARD Loan</t>
  </si>
  <si>
    <t>ROYER Mathis</t>
  </si>
  <si>
    <t>LECOMTE Erwan</t>
  </si>
  <si>
    <t>BOULARD  Neyl</t>
  </si>
  <si>
    <t>GILOUPPE Louis</t>
  </si>
  <si>
    <t>Bourneuf Tom</t>
  </si>
  <si>
    <t>LA FLECHE</t>
  </si>
  <si>
    <t xml:space="preserve">Maurice Loic </t>
  </si>
  <si>
    <t>savigné</t>
  </si>
  <si>
    <t>Savigné</t>
  </si>
  <si>
    <t>Baugard 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</si>
</sst>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000000000_)"/>
    <numFmt numFmtId="165" formatCode="000"/>
    <numFmt numFmtId="166" formatCode="00"/>
    <numFmt numFmtId="167" formatCode="d\ mmmm\ yyyy"/>
    <numFmt numFmtId="168" formatCode="0.0000"/>
    <numFmt numFmtId="169" formatCode="00,000,000"/>
    <numFmt numFmtId="170" formatCode="[$-F800]dddd\,\ mmmm\ dd\,\ yyyy"/>
  </numFmts>
  <fonts count="86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i/>
      <sz val="14"/>
      <name val="Times New Roman"/>
      <family val="1"/>
    </font>
    <font>
      <i/>
      <sz val="10"/>
      <color indexed="1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i/>
      <sz val="8"/>
      <name val="Times New Roman"/>
      <family val="1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MS Sans Serif"/>
    </font>
    <font>
      <b/>
      <sz val="11"/>
      <color indexed="10"/>
      <name val="Times New Roman"/>
      <family val="1"/>
    </font>
    <font>
      <b/>
      <vertAlign val="superscript"/>
      <sz val="10"/>
      <name val="Calibri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sz val="13.5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6"/>
      <name val="Calibri"/>
      <family val="2"/>
      <scheme val="minor"/>
    </font>
    <font>
      <b/>
      <u/>
      <sz val="13.5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4"/>
      <color indexed="9"/>
      <name val="Calibri"/>
      <family val="2"/>
      <scheme val="minor"/>
    </font>
    <font>
      <b/>
      <i/>
      <sz val="8"/>
      <name val="Calibri"/>
      <family val="2"/>
      <scheme val="minor"/>
    </font>
    <font>
      <i/>
      <sz val="12"/>
      <name val="Calibri"/>
      <family val="2"/>
      <scheme val="minor"/>
    </font>
    <font>
      <sz val="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6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0"/>
      <color rgb="FF008000"/>
      <name val="MS Sans Serif"/>
    </font>
    <font>
      <b/>
      <sz val="13.5"/>
      <color rgb="FF339966"/>
      <name val="MS Sans Serif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8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8"/>
      <name val="Arial"/>
      <family val="2"/>
    </font>
    <font>
      <b/>
      <sz val="20"/>
      <color indexed="10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indexed="12"/>
      <name val="Calibri"/>
      <family val="2"/>
      <scheme val="minor"/>
    </font>
    <font>
      <sz val="1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8" fillId="0" borderId="0"/>
    <xf numFmtId="0" fontId="2" fillId="0" borderId="0"/>
    <xf numFmtId="0" fontId="8" fillId="0" borderId="0"/>
  </cellStyleXfs>
  <cellXfs count="1011">
    <xf numFmtId="0" fontId="0" fillId="0" borderId="0" xfId="0"/>
    <xf numFmtId="0" fontId="3" fillId="0" borderId="0" xfId="0" applyFont="1" applyBorder="1" applyAlignment="1" applyProtection="1">
      <alignment horizontal="center" vertical="center"/>
      <protection hidden="1"/>
    </xf>
    <xf numFmtId="0" fontId="1" fillId="0" borderId="0" xfId="3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/>
      <protection hidden="1"/>
    </xf>
    <xf numFmtId="0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7" fillId="2" borderId="6" xfId="0" applyNumberFormat="1" applyFont="1" applyFill="1" applyBorder="1" applyAlignment="1" applyProtection="1">
      <alignment horizontal="center" vertical="center"/>
      <protection hidden="1"/>
    </xf>
    <xf numFmtId="0" fontId="17" fillId="2" borderId="3" xfId="0" applyNumberFormat="1" applyFont="1" applyFill="1" applyBorder="1" applyAlignment="1" applyProtection="1">
      <alignment horizontal="center" vertical="center"/>
      <protection hidden="1"/>
    </xf>
    <xf numFmtId="0" fontId="17" fillId="2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3" xfId="0" applyNumberFormat="1" applyFont="1" applyFill="1" applyBorder="1" applyAlignment="1" applyProtection="1">
      <alignment horizontal="center" vertical="center"/>
      <protection hidden="1"/>
    </xf>
    <xf numFmtId="0" fontId="17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NumberFormat="1" applyBorder="1" applyAlignment="1" applyProtection="1">
      <alignment vertical="center"/>
      <protection hidden="1"/>
    </xf>
    <xf numFmtId="0" fontId="0" fillId="0" borderId="15" xfId="0" applyNumberFormat="1" applyBorder="1" applyAlignment="1" applyProtection="1">
      <alignment vertical="center"/>
      <protection hidden="1"/>
    </xf>
    <xf numFmtId="0" fontId="0" fillId="0" borderId="6" xfId="0" applyNumberFormat="1" applyBorder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vertical="center"/>
      <protection hidden="1"/>
    </xf>
    <xf numFmtId="0" fontId="0" fillId="0" borderId="15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4" xfId="0" applyNumberFormat="1" applyBorder="1" applyAlignment="1" applyProtection="1">
      <alignment vertical="center"/>
      <protection hidden="1"/>
    </xf>
    <xf numFmtId="0" fontId="0" fillId="0" borderId="4" xfId="0" applyNumberFormat="1" applyBorder="1" applyAlignment="1" applyProtection="1">
      <alignment horizontal="center" vertical="center"/>
      <protection hidden="1"/>
    </xf>
    <xf numFmtId="0" fontId="0" fillId="0" borderId="12" xfId="0" applyNumberFormat="1" applyBorder="1" applyAlignment="1" applyProtection="1">
      <alignment horizontal="center" vertical="center"/>
      <protection hidden="1"/>
    </xf>
    <xf numFmtId="0" fontId="0" fillId="0" borderId="11" xfId="0" applyNumberFormat="1" applyBorder="1" applyAlignment="1" applyProtection="1">
      <alignment horizontal="center" vertical="center"/>
      <protection hidden="1"/>
    </xf>
    <xf numFmtId="0" fontId="0" fillId="0" borderId="16" xfId="0" applyNumberFormat="1" applyBorder="1" applyAlignment="1" applyProtection="1">
      <alignment horizontal="centerContinuous" vertical="center"/>
      <protection hidden="1"/>
    </xf>
    <xf numFmtId="0" fontId="0" fillId="0" borderId="17" xfId="0" applyNumberFormat="1" applyBorder="1" applyAlignment="1" applyProtection="1">
      <alignment vertical="center"/>
      <protection hidden="1"/>
    </xf>
    <xf numFmtId="0" fontId="0" fillId="0" borderId="18" xfId="0" applyNumberFormat="1" applyBorder="1" applyAlignment="1" applyProtection="1">
      <alignment vertical="center"/>
      <protection hidden="1"/>
    </xf>
    <xf numFmtId="0" fontId="0" fillId="0" borderId="19" xfId="0" applyNumberFormat="1" applyBorder="1" applyAlignment="1" applyProtection="1">
      <alignment vertical="center"/>
      <protection hidden="1"/>
    </xf>
    <xf numFmtId="0" fontId="0" fillId="0" borderId="20" xfId="0" applyNumberFormat="1" applyBorder="1" applyAlignment="1" applyProtection="1">
      <alignment vertical="center"/>
      <protection hidden="1"/>
    </xf>
    <xf numFmtId="0" fontId="0" fillId="0" borderId="20" xfId="0" applyNumberFormat="1" applyBorder="1" applyAlignment="1" applyProtection="1">
      <alignment horizontal="center" vertical="center"/>
      <protection hidden="1"/>
    </xf>
    <xf numFmtId="0" fontId="0" fillId="0" borderId="14" xfId="0" applyNumberFormat="1" applyBorder="1" applyAlignment="1" applyProtection="1">
      <alignment horizontal="center" vertical="center"/>
      <protection hidden="1"/>
    </xf>
    <xf numFmtId="0" fontId="0" fillId="0" borderId="21" xfId="0" applyNumberFormat="1" applyBorder="1" applyAlignment="1" applyProtection="1">
      <alignment horizontal="center" vertical="center"/>
      <protection hidden="1"/>
    </xf>
    <xf numFmtId="0" fontId="0" fillId="0" borderId="22" xfId="0" applyNumberFormat="1" applyBorder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Continuous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" fillId="0" borderId="23" xfId="0" applyNumberFormat="1" applyFont="1" applyBorder="1" applyAlignment="1" applyProtection="1">
      <alignment horizontal="center" vertical="center"/>
      <protection hidden="1"/>
    </xf>
    <xf numFmtId="0" fontId="0" fillId="4" borderId="6" xfId="0" applyNumberFormat="1" applyFill="1" applyBorder="1" applyAlignment="1" applyProtection="1">
      <alignment horizontal="center" vertical="center"/>
      <protection hidden="1"/>
    </xf>
    <xf numFmtId="0" fontId="0" fillId="0" borderId="2" xfId="0" applyNumberFormat="1" applyBorder="1" applyAlignment="1" applyProtection="1">
      <alignment horizontal="center" vertical="center"/>
      <protection hidden="1"/>
    </xf>
    <xf numFmtId="0" fontId="0" fillId="0" borderId="14" xfId="0" applyNumberFormat="1" applyBorder="1" applyAlignment="1" applyProtection="1">
      <alignment vertical="center"/>
      <protection hidden="1"/>
    </xf>
    <xf numFmtId="0" fontId="0" fillId="4" borderId="4" xfId="0" applyNumberFormat="1" applyFill="1" applyBorder="1" applyAlignment="1" applyProtection="1">
      <alignment horizontal="center" vertical="center"/>
      <protection hidden="1"/>
    </xf>
    <xf numFmtId="0" fontId="0" fillId="0" borderId="12" xfId="0" applyNumberFormat="1" applyBorder="1" applyAlignment="1" applyProtection="1">
      <alignment vertical="center"/>
      <protection hidden="1"/>
    </xf>
    <xf numFmtId="0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NumberFormat="1" applyBorder="1" applyAlignment="1" applyProtection="1">
      <alignment vertical="center"/>
      <protection hidden="1"/>
    </xf>
    <xf numFmtId="0" fontId="0" fillId="0" borderId="17" xfId="0" applyNumberFormat="1" applyBorder="1" applyAlignment="1" applyProtection="1">
      <alignment horizontal="center" vertical="center"/>
      <protection hidden="1"/>
    </xf>
    <xf numFmtId="0" fontId="0" fillId="0" borderId="2" xfId="0" applyNumberFormat="1" applyBorder="1" applyAlignment="1" applyProtection="1">
      <alignment vertical="center"/>
      <protection hidden="1"/>
    </xf>
    <xf numFmtId="165" fontId="0" fillId="0" borderId="6" xfId="0" applyNumberFormat="1" applyBorder="1" applyAlignment="1" applyProtection="1">
      <alignment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2" fillId="0" borderId="0" xfId="3" applyAlignment="1" applyProtection="1">
      <alignment vertical="center"/>
      <protection hidden="1"/>
    </xf>
    <xf numFmtId="0" fontId="0" fillId="0" borderId="24" xfId="0" applyNumberFormat="1" applyBorder="1" applyAlignment="1" applyProtection="1">
      <alignment horizontal="centerContinuous" vertical="center"/>
      <protection hidden="1"/>
    </xf>
    <xf numFmtId="0" fontId="0" fillId="0" borderId="25" xfId="0" applyNumberFormat="1" applyBorder="1" applyAlignment="1" applyProtection="1">
      <alignment horizontal="centerContinuous" vertical="center"/>
      <protection hidden="1"/>
    </xf>
    <xf numFmtId="0" fontId="16" fillId="0" borderId="16" xfId="3" applyFont="1" applyBorder="1" applyAlignment="1" applyProtection="1">
      <alignment horizontal="centerContinuous" vertical="center"/>
      <protection hidden="1"/>
    </xf>
    <xf numFmtId="0" fontId="16" fillId="0" borderId="26" xfId="3" applyFont="1" applyBorder="1" applyAlignment="1" applyProtection="1">
      <alignment horizontal="centerContinuous" vertical="center"/>
      <protection hidden="1"/>
    </xf>
    <xf numFmtId="0" fontId="0" fillId="0" borderId="27" xfId="0" applyNumberFormat="1" applyBorder="1" applyAlignment="1" applyProtection="1">
      <alignment horizontal="left" vertical="center"/>
      <protection hidden="1"/>
    </xf>
    <xf numFmtId="0" fontId="0" fillId="0" borderId="28" xfId="0" applyNumberFormat="1" applyBorder="1" applyAlignment="1" applyProtection="1">
      <alignment horizontal="left" vertical="center"/>
      <protection hidden="1"/>
    </xf>
    <xf numFmtId="0" fontId="0" fillId="0" borderId="10" xfId="0" applyNumberFormat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centerContinuous" vertical="center"/>
      <protection hidden="1"/>
    </xf>
    <xf numFmtId="0" fontId="0" fillId="0" borderId="29" xfId="0" applyNumberFormat="1" applyBorder="1" applyAlignment="1" applyProtection="1">
      <alignment vertical="center"/>
      <protection hidden="1"/>
    </xf>
    <xf numFmtId="0" fontId="0" fillId="4" borderId="6" xfId="0" applyNumberFormat="1" applyFill="1" applyBorder="1" applyAlignment="1" applyProtection="1">
      <alignment vertical="center"/>
      <protection hidden="1"/>
    </xf>
    <xf numFmtId="0" fontId="0" fillId="0" borderId="21" xfId="0" applyNumberFormat="1" applyBorder="1" applyAlignment="1" applyProtection="1">
      <alignment vertical="center"/>
      <protection hidden="1"/>
    </xf>
    <xf numFmtId="0" fontId="0" fillId="0" borderId="10" xfId="0" applyNumberFormat="1" applyBorder="1" applyAlignment="1" applyProtection="1">
      <alignment horizontal="center" vertical="center"/>
      <protection hidden="1"/>
    </xf>
    <xf numFmtId="0" fontId="0" fillId="0" borderId="5" xfId="0" applyNumberFormat="1" applyBorder="1" applyAlignment="1" applyProtection="1">
      <alignment horizontal="center" vertical="center"/>
      <protection hidden="1"/>
    </xf>
    <xf numFmtId="0" fontId="0" fillId="0" borderId="30" xfId="0" applyNumberFormat="1" applyBorder="1" applyAlignment="1" applyProtection="1">
      <alignment horizontal="center" vertical="center"/>
      <protection hidden="1"/>
    </xf>
    <xf numFmtId="0" fontId="0" fillId="0" borderId="31" xfId="0" applyNumberFormat="1" applyBorder="1" applyAlignment="1" applyProtection="1">
      <alignment horizontal="center" vertical="center"/>
      <protection hidden="1"/>
    </xf>
    <xf numFmtId="0" fontId="1" fillId="0" borderId="32" xfId="0" applyNumberFormat="1" applyFont="1" applyBorder="1" applyAlignment="1" applyProtection="1">
      <alignment horizontal="center" vertical="center"/>
      <protection hidden="1"/>
    </xf>
    <xf numFmtId="0" fontId="0" fillId="0" borderId="33" xfId="0" applyNumberFormat="1" applyBorder="1" applyAlignment="1" applyProtection="1">
      <alignment horizontal="center" vertical="center"/>
      <protection hidden="1"/>
    </xf>
    <xf numFmtId="0" fontId="0" fillId="0" borderId="34" xfId="0" applyNumberFormat="1" applyBorder="1" applyAlignment="1" applyProtection="1">
      <alignment horizontal="center" vertical="center"/>
      <protection hidden="1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0" fillId="0" borderId="35" xfId="0" applyNumberForma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0" fillId="0" borderId="36" xfId="0" applyNumberFormat="1" applyBorder="1" applyAlignment="1" applyProtection="1">
      <alignment horizontal="center" vertical="center"/>
      <protection hidden="1"/>
    </xf>
    <xf numFmtId="0" fontId="0" fillId="0" borderId="37" xfId="0" applyNumberForma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0" fontId="0" fillId="4" borderId="14" xfId="0" applyNumberFormat="1" applyFill="1" applyBorder="1" applyAlignment="1" applyProtection="1">
      <alignment vertical="center"/>
      <protection hidden="1"/>
    </xf>
    <xf numFmtId="0" fontId="0" fillId="0" borderId="3" xfId="0" applyNumberFormat="1" applyBorder="1" applyAlignment="1" applyProtection="1">
      <alignment vertical="center"/>
      <protection hidden="1"/>
    </xf>
    <xf numFmtId="0" fontId="0" fillId="0" borderId="13" xfId="0" applyNumberFormat="1" applyBorder="1" applyAlignment="1" applyProtection="1">
      <alignment horizontal="center" vertical="center"/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0" fillId="0" borderId="8" xfId="0" applyNumberFormat="1" applyBorder="1" applyAlignment="1" applyProtection="1">
      <alignment horizontal="center" vertical="center"/>
      <protection hidden="1"/>
    </xf>
    <xf numFmtId="0" fontId="0" fillId="0" borderId="39" xfId="0" applyNumberFormat="1" applyBorder="1" applyAlignment="1" applyProtection="1">
      <alignment horizontal="center" vertical="center"/>
      <protection hidden="1"/>
    </xf>
    <xf numFmtId="0" fontId="0" fillId="0" borderId="7" xfId="0" applyNumberFormat="1" applyBorder="1" applyAlignment="1" applyProtection="1">
      <alignment vertical="center"/>
      <protection hidden="1"/>
    </xf>
    <xf numFmtId="0" fontId="0" fillId="0" borderId="9" xfId="0" applyNumberFormat="1" applyBorder="1" applyAlignment="1" applyProtection="1">
      <alignment vertical="center"/>
      <protection hidden="1"/>
    </xf>
    <xf numFmtId="0" fontId="2" fillId="0" borderId="40" xfId="3" applyBorder="1" applyAlignment="1" applyProtection="1">
      <alignment vertical="center"/>
      <protection hidden="1"/>
    </xf>
    <xf numFmtId="0" fontId="0" fillId="0" borderId="40" xfId="0" applyNumberFormat="1" applyBorder="1" applyAlignment="1" applyProtection="1">
      <alignment vertical="center"/>
      <protection hidden="1"/>
    </xf>
    <xf numFmtId="0" fontId="2" fillId="0" borderId="41" xfId="3" applyBorder="1" applyAlignment="1" applyProtection="1">
      <alignment vertical="center"/>
      <protection hidden="1"/>
    </xf>
    <xf numFmtId="0" fontId="2" fillId="0" borderId="42" xfId="3" applyBorder="1" applyAlignment="1" applyProtection="1">
      <alignment vertical="center"/>
      <protection hidden="1"/>
    </xf>
    <xf numFmtId="0" fontId="1" fillId="0" borderId="43" xfId="0" applyNumberFormat="1" applyFont="1" applyBorder="1" applyAlignment="1" applyProtection="1">
      <alignment horizontal="center" vertical="center"/>
      <protection hidden="1"/>
    </xf>
    <xf numFmtId="0" fontId="1" fillId="0" borderId="44" xfId="0" applyNumberFormat="1" applyFont="1" applyBorder="1" applyAlignment="1" applyProtection="1">
      <alignment horizontal="center" vertical="center"/>
      <protection hidden="1"/>
    </xf>
    <xf numFmtId="0" fontId="1" fillId="0" borderId="8" xfId="0" applyNumberFormat="1" applyFont="1" applyBorder="1" applyAlignment="1" applyProtection="1">
      <alignment horizontal="center" vertical="center"/>
      <protection hidden="1"/>
    </xf>
    <xf numFmtId="0" fontId="1" fillId="0" borderId="10" xfId="0" applyNumberFormat="1" applyFont="1" applyBorder="1" applyAlignment="1" applyProtection="1">
      <alignment horizontal="center" vertical="center"/>
      <protection hidden="1"/>
    </xf>
    <xf numFmtId="0" fontId="20" fillId="0" borderId="0" xfId="7" applyFont="1" applyAlignment="1" applyProtection="1">
      <alignment horizontal="centerContinuous"/>
    </xf>
    <xf numFmtId="0" fontId="20" fillId="0" borderId="0" xfId="7" applyFont="1" applyProtection="1"/>
    <xf numFmtId="0" fontId="21" fillId="4" borderId="0" xfId="7" applyFont="1" applyFill="1" applyProtection="1"/>
    <xf numFmtId="0" fontId="13" fillId="4" borderId="0" xfId="7" applyFont="1" applyFill="1" applyAlignment="1" applyProtection="1">
      <alignment horizontal="center"/>
    </xf>
    <xf numFmtId="0" fontId="18" fillId="0" borderId="0" xfId="7" applyFont="1" applyBorder="1" applyProtection="1"/>
    <xf numFmtId="0" fontId="18" fillId="0" borderId="0" xfId="7" applyFont="1" applyBorder="1" applyAlignment="1" applyProtection="1">
      <alignment horizontal="centerContinuous"/>
    </xf>
    <xf numFmtId="0" fontId="18" fillId="0" borderId="0" xfId="7" applyFont="1" applyBorder="1" applyAlignment="1" applyProtection="1">
      <alignment horizontal="center"/>
    </xf>
    <xf numFmtId="0" fontId="18" fillId="4" borderId="45" xfId="7" applyFont="1" applyFill="1" applyBorder="1" applyAlignment="1" applyProtection="1">
      <alignment horizontal="centerContinuous"/>
    </xf>
    <xf numFmtId="0" fontId="18" fillId="4" borderId="46" xfId="7" applyFont="1" applyFill="1" applyBorder="1" applyAlignment="1" applyProtection="1">
      <alignment horizontal="centerContinuous"/>
    </xf>
    <xf numFmtId="0" fontId="18" fillId="4" borderId="47" xfId="7" applyFont="1" applyFill="1" applyBorder="1" applyAlignment="1" applyProtection="1">
      <alignment horizontal="center"/>
    </xf>
    <xf numFmtId="0" fontId="18" fillId="4" borderId="46" xfId="7" applyFont="1" applyFill="1" applyBorder="1" applyAlignment="1" applyProtection="1">
      <alignment horizontal="center"/>
    </xf>
    <xf numFmtId="0" fontId="18" fillId="4" borderId="0" xfId="7" applyFont="1" applyFill="1" applyProtection="1"/>
    <xf numFmtId="0" fontId="13" fillId="4" borderId="0" xfId="7" applyFont="1" applyFill="1" applyProtection="1"/>
    <xf numFmtId="0" fontId="18" fillId="4" borderId="48" xfId="7" applyFont="1" applyFill="1" applyBorder="1" applyAlignment="1" applyProtection="1"/>
    <xf numFmtId="0" fontId="18" fillId="4" borderId="49" xfId="7" applyFont="1" applyFill="1" applyBorder="1" applyProtection="1"/>
    <xf numFmtId="0" fontId="18" fillId="4" borderId="50" xfId="7" applyFont="1" applyFill="1" applyBorder="1" applyAlignment="1" applyProtection="1">
      <alignment horizontal="center"/>
    </xf>
    <xf numFmtId="0" fontId="13" fillId="4" borderId="45" xfId="7" applyFont="1" applyFill="1" applyBorder="1" applyAlignment="1" applyProtection="1">
      <alignment horizontal="centerContinuous"/>
    </xf>
    <xf numFmtId="0" fontId="18" fillId="4" borderId="51" xfId="7" applyFont="1" applyFill="1" applyBorder="1" applyAlignment="1" applyProtection="1">
      <alignment horizontal="centerContinuous"/>
    </xf>
    <xf numFmtId="0" fontId="18" fillId="0" borderId="47" xfId="7" applyFont="1" applyBorder="1" applyAlignment="1" applyProtection="1">
      <alignment horizontal="center"/>
    </xf>
    <xf numFmtId="0" fontId="22" fillId="0" borderId="0" xfId="7" applyFont="1" applyProtection="1"/>
    <xf numFmtId="0" fontId="22" fillId="4" borderId="0" xfId="7" applyFont="1" applyFill="1" applyProtection="1"/>
    <xf numFmtId="0" fontId="18" fillId="4" borderId="52" xfId="7" applyFont="1" applyFill="1" applyBorder="1" applyAlignment="1" applyProtection="1"/>
    <xf numFmtId="0" fontId="18" fillId="4" borderId="0" xfId="7" applyFont="1" applyFill="1" applyBorder="1" applyProtection="1"/>
    <xf numFmtId="0" fontId="18" fillId="4" borderId="53" xfId="7" applyFont="1" applyFill="1" applyBorder="1" applyAlignment="1" applyProtection="1">
      <alignment horizontal="center"/>
    </xf>
    <xf numFmtId="0" fontId="6" fillId="0" borderId="0" xfId="7" applyFont="1" applyBorder="1" applyAlignment="1" applyProtection="1">
      <alignment horizontal="center"/>
    </xf>
    <xf numFmtId="0" fontId="6" fillId="0" borderId="0" xfId="7" applyFont="1" applyBorder="1" applyAlignment="1" applyProtection="1">
      <alignment horizontal="centerContinuous"/>
    </xf>
    <xf numFmtId="0" fontId="6" fillId="0" borderId="0" xfId="7" applyFont="1" applyProtection="1"/>
    <xf numFmtId="0" fontId="2" fillId="0" borderId="0" xfId="0" applyFont="1" applyProtection="1"/>
    <xf numFmtId="0" fontId="6" fillId="0" borderId="0" xfId="7" applyFont="1" applyAlignment="1" applyProtection="1">
      <alignment horizontal="center"/>
    </xf>
    <xf numFmtId="0" fontId="18" fillId="4" borderId="52" xfId="7" applyFont="1" applyFill="1" applyBorder="1" applyProtection="1"/>
    <xf numFmtId="0" fontId="6" fillId="0" borderId="0" xfId="7" applyFont="1" applyBorder="1" applyProtection="1"/>
    <xf numFmtId="0" fontId="18" fillId="4" borderId="54" xfId="7" applyFont="1" applyFill="1" applyBorder="1" applyProtection="1"/>
    <xf numFmtId="0" fontId="18" fillId="4" borderId="55" xfId="7" applyFont="1" applyFill="1" applyBorder="1" applyProtection="1"/>
    <xf numFmtId="0" fontId="18" fillId="4" borderId="56" xfId="7" applyFont="1" applyFill="1" applyBorder="1" applyAlignment="1" applyProtection="1">
      <alignment horizontal="center"/>
    </xf>
    <xf numFmtId="0" fontId="6" fillId="0" borderId="31" xfId="7" applyFont="1" applyBorder="1" applyAlignment="1" applyProtection="1">
      <alignment horizontal="centerContinuous"/>
    </xf>
    <xf numFmtId="0" fontId="6" fillId="0" borderId="31" xfId="7" applyFont="1" applyBorder="1" applyAlignment="1" applyProtection="1"/>
    <xf numFmtId="0" fontId="18" fillId="0" borderId="0" xfId="7" applyFont="1" applyProtection="1"/>
    <xf numFmtId="0" fontId="18" fillId="0" borderId="0" xfId="7" applyFont="1" applyAlignment="1" applyProtection="1">
      <alignment horizontal="center"/>
    </xf>
    <xf numFmtId="0" fontId="6" fillId="0" borderId="34" xfId="7" applyFont="1" applyBorder="1" applyAlignment="1" applyProtection="1">
      <alignment horizontal="centerContinuous"/>
    </xf>
    <xf numFmtId="0" fontId="6" fillId="0" borderId="0" xfId="7" applyFont="1" applyAlignment="1" applyProtection="1">
      <alignment horizontal="centerContinuous"/>
    </xf>
    <xf numFmtId="0" fontId="6" fillId="0" borderId="38" xfId="7" applyFont="1" applyBorder="1" applyAlignment="1" applyProtection="1">
      <alignment horizontal="right"/>
    </xf>
    <xf numFmtId="0" fontId="6" fillId="0" borderId="31" xfId="7" applyFont="1" applyBorder="1" applyAlignment="1" applyProtection="1">
      <alignment horizontal="right"/>
    </xf>
    <xf numFmtId="0" fontId="6" fillId="0" borderId="31" xfId="7" applyFont="1" applyBorder="1" applyProtection="1"/>
    <xf numFmtId="0" fontId="6" fillId="0" borderId="38" xfId="7" applyFont="1" applyBorder="1" applyProtection="1"/>
    <xf numFmtId="0" fontId="6" fillId="0" borderId="34" xfId="7" applyFont="1" applyBorder="1" applyAlignment="1" applyProtection="1"/>
    <xf numFmtId="0" fontId="6" fillId="0" borderId="2" xfId="7" applyFont="1" applyBorder="1" applyProtection="1"/>
    <xf numFmtId="0" fontId="6" fillId="0" borderId="0" xfId="7" applyFont="1" applyBorder="1" applyAlignment="1" applyProtection="1"/>
    <xf numFmtId="0" fontId="6" fillId="0" borderId="0" xfId="7" applyFont="1" applyBorder="1" applyAlignment="1" applyProtection="1">
      <alignment horizontal="right"/>
    </xf>
    <xf numFmtId="0" fontId="13" fillId="0" borderId="0" xfId="7" applyFont="1" applyAlignment="1" applyProtection="1">
      <alignment horizontal="center"/>
    </xf>
    <xf numFmtId="0" fontId="6" fillId="0" borderId="31" xfId="7" applyFont="1" applyBorder="1" applyAlignment="1" applyProtection="1">
      <alignment horizontal="left"/>
    </xf>
    <xf numFmtId="0" fontId="2" fillId="0" borderId="0" xfId="0" applyFont="1" applyBorder="1" applyProtection="1"/>
    <xf numFmtId="0" fontId="6" fillId="0" borderId="57" xfId="7" applyFont="1" applyBorder="1" applyProtection="1"/>
    <xf numFmtId="0" fontId="6" fillId="0" borderId="34" xfId="7" applyFont="1" applyBorder="1" applyProtection="1"/>
    <xf numFmtId="0" fontId="6" fillId="0" borderId="34" xfId="7" applyFont="1" applyBorder="1" applyAlignment="1" applyProtection="1">
      <alignment horizontal="right"/>
    </xf>
    <xf numFmtId="0" fontId="6" fillId="0" borderId="58" xfId="7" applyFont="1" applyBorder="1" applyAlignment="1" applyProtection="1">
      <alignment horizontal="centerContinuous"/>
    </xf>
    <xf numFmtId="0" fontId="6" fillId="0" borderId="59" xfId="7" applyFont="1" applyBorder="1" applyProtection="1"/>
    <xf numFmtId="0" fontId="19" fillId="0" borderId="31" xfId="7" applyFont="1" applyBorder="1" applyAlignment="1" applyProtection="1">
      <alignment horizontal="center"/>
    </xf>
    <xf numFmtId="0" fontId="19" fillId="0" borderId="0" xfId="7" applyFont="1" applyBorder="1" applyAlignment="1" applyProtection="1">
      <alignment horizontal="left"/>
    </xf>
    <xf numFmtId="0" fontId="6" fillId="0" borderId="58" xfId="7" applyFont="1" applyBorder="1" applyAlignment="1" applyProtection="1">
      <alignment horizontal="center"/>
    </xf>
    <xf numFmtId="0" fontId="6" fillId="0" borderId="59" xfId="7" applyFont="1" applyBorder="1" applyAlignment="1" applyProtection="1">
      <alignment horizontal="center"/>
    </xf>
    <xf numFmtId="0" fontId="19" fillId="0" borderId="31" xfId="7" applyFont="1" applyBorder="1" applyAlignment="1" applyProtection="1">
      <alignment horizontal="right"/>
    </xf>
    <xf numFmtId="0" fontId="6" fillId="0" borderId="58" xfId="7" applyFont="1" applyBorder="1" applyProtection="1"/>
    <xf numFmtId="0" fontId="23" fillId="0" borderId="38" xfId="7" applyFont="1" applyBorder="1" applyAlignment="1" applyProtection="1">
      <alignment horizontal="center"/>
    </xf>
    <xf numFmtId="0" fontId="6" fillId="0" borderId="60" xfId="7" applyFont="1" applyBorder="1" applyProtection="1"/>
    <xf numFmtId="0" fontId="6" fillId="0" borderId="61" xfId="7" applyFont="1" applyBorder="1" applyProtection="1"/>
    <xf numFmtId="0" fontId="6" fillId="0" borderId="61" xfId="7" applyFont="1" applyBorder="1" applyAlignment="1" applyProtection="1">
      <alignment horizontal="center"/>
    </xf>
    <xf numFmtId="0" fontId="6" fillId="0" borderId="61" xfId="7" applyFont="1" applyBorder="1" applyAlignment="1" applyProtection="1">
      <alignment horizontal="centerContinuous"/>
    </xf>
    <xf numFmtId="0" fontId="6" fillId="0" borderId="62" xfId="7" applyFont="1" applyBorder="1" applyAlignment="1" applyProtection="1">
      <alignment horizontal="center"/>
    </xf>
    <xf numFmtId="0" fontId="6" fillId="0" borderId="60" xfId="7" applyFont="1" applyBorder="1" applyAlignment="1" applyProtection="1">
      <alignment horizontal="center"/>
    </xf>
    <xf numFmtId="0" fontId="6" fillId="0" borderId="62" xfId="7" applyFont="1" applyBorder="1" applyProtection="1"/>
    <xf numFmtId="0" fontId="19" fillId="0" borderId="31" xfId="7" applyFont="1" applyFill="1" applyBorder="1" applyAlignment="1" applyProtection="1">
      <alignment horizontal="centerContinuous"/>
    </xf>
    <xf numFmtId="0" fontId="6" fillId="0" borderId="31" xfId="7" applyFont="1" applyBorder="1" applyAlignment="1" applyProtection="1">
      <alignment horizontal="center"/>
    </xf>
    <xf numFmtId="0" fontId="19" fillId="0" borderId="0" xfId="7" applyFont="1" applyBorder="1" applyAlignment="1" applyProtection="1">
      <alignment horizontal="right"/>
    </xf>
    <xf numFmtId="0" fontId="6" fillId="0" borderId="38" xfId="7" applyFont="1" applyBorder="1" applyAlignment="1" applyProtection="1">
      <alignment horizontal="center"/>
    </xf>
    <xf numFmtId="0" fontId="19" fillId="0" borderId="1" xfId="7" applyFont="1" applyBorder="1" applyAlignment="1" applyProtection="1">
      <alignment horizontal="right"/>
    </xf>
    <xf numFmtId="0" fontId="6" fillId="0" borderId="34" xfId="7" applyFont="1" applyBorder="1" applyAlignment="1" applyProtection="1">
      <alignment horizontal="center"/>
    </xf>
    <xf numFmtId="0" fontId="19" fillId="0" borderId="31" xfId="7" applyFont="1" applyFill="1" applyBorder="1" applyAlignment="1" applyProtection="1">
      <alignment horizontal="right"/>
    </xf>
    <xf numFmtId="0" fontId="2" fillId="0" borderId="31" xfId="0" applyFont="1" applyBorder="1" applyProtection="1"/>
    <xf numFmtId="0" fontId="19" fillId="0" borderId="31" xfId="7" applyFont="1" applyBorder="1" applyAlignment="1" applyProtection="1"/>
    <xf numFmtId="0" fontId="23" fillId="0" borderId="0" xfId="7" quotePrefix="1" applyFont="1" applyBorder="1" applyAlignment="1" applyProtection="1"/>
    <xf numFmtId="0" fontId="6" fillId="0" borderId="63" xfId="7" applyFont="1" applyBorder="1" applyProtection="1"/>
    <xf numFmtId="0" fontId="6" fillId="0" borderId="64" xfId="7" applyFont="1" applyBorder="1" applyAlignment="1" applyProtection="1">
      <alignment horizontal="center"/>
    </xf>
    <xf numFmtId="0" fontId="6" fillId="0" borderId="64" xfId="7" applyFont="1" applyBorder="1" applyProtection="1"/>
    <xf numFmtId="0" fontId="6" fillId="0" borderId="65" xfId="7" applyFont="1" applyBorder="1" applyAlignment="1" applyProtection="1">
      <alignment horizontal="centerContinuous"/>
    </xf>
    <xf numFmtId="0" fontId="6" fillId="0" borderId="66" xfId="7" applyFont="1" applyBorder="1" applyAlignment="1" applyProtection="1">
      <alignment horizontal="center"/>
    </xf>
    <xf numFmtId="0" fontId="6" fillId="0" borderId="65" xfId="7" applyFont="1" applyBorder="1" applyProtection="1"/>
    <xf numFmtId="0" fontId="6" fillId="0" borderId="66" xfId="7" applyFont="1" applyBorder="1" applyProtection="1"/>
    <xf numFmtId="0" fontId="2" fillId="0" borderId="31" xfId="0" applyFont="1" applyBorder="1" applyAlignment="1" applyProtection="1">
      <alignment horizontal="centerContinuous"/>
    </xf>
    <xf numFmtId="0" fontId="6" fillId="0" borderId="63" xfId="7" applyFont="1" applyBorder="1" applyAlignment="1" applyProtection="1">
      <alignment horizontal="centerContinuous"/>
    </xf>
    <xf numFmtId="0" fontId="26" fillId="0" borderId="60" xfId="7" applyFont="1" applyBorder="1" applyProtection="1"/>
    <xf numFmtId="0" fontId="0" fillId="0" borderId="23" xfId="0" applyNumberFormat="1" applyBorder="1" applyAlignment="1" applyProtection="1">
      <alignment vertical="center"/>
      <protection hidden="1"/>
    </xf>
    <xf numFmtId="0" fontId="0" fillId="0" borderId="67" xfId="0" applyNumberFormat="1" applyBorder="1" applyAlignment="1" applyProtection="1">
      <alignment horizontal="center" vertical="center"/>
      <protection hidden="1"/>
    </xf>
    <xf numFmtId="0" fontId="0" fillId="0" borderId="68" xfId="0" applyNumberFormat="1" applyBorder="1" applyAlignment="1" applyProtection="1">
      <alignment horizontal="center" vertical="center"/>
      <protection hidden="1"/>
    </xf>
    <xf numFmtId="0" fontId="27" fillId="0" borderId="31" xfId="8" applyFont="1" applyBorder="1" applyAlignment="1" applyProtection="1">
      <alignment vertical="center"/>
    </xf>
    <xf numFmtId="0" fontId="28" fillId="0" borderId="31" xfId="8" applyFont="1" applyBorder="1" applyAlignment="1" applyProtection="1">
      <alignment vertical="center"/>
    </xf>
    <xf numFmtId="0" fontId="29" fillId="0" borderId="0" xfId="0" applyFont="1" applyProtection="1"/>
    <xf numFmtId="0" fontId="9" fillId="0" borderId="0" xfId="7" applyFont="1" applyBorder="1" applyAlignment="1" applyProtection="1">
      <alignment horizontal="center"/>
    </xf>
    <xf numFmtId="0" fontId="9" fillId="0" borderId="58" xfId="7" applyFont="1" applyBorder="1" applyAlignment="1" applyProtection="1">
      <alignment horizontal="center"/>
    </xf>
    <xf numFmtId="0" fontId="24" fillId="5" borderId="31" xfId="7" applyFont="1" applyFill="1" applyBorder="1" applyAlignment="1" applyProtection="1">
      <alignment horizontal="center" vertical="center"/>
      <protection locked="0"/>
    </xf>
    <xf numFmtId="0" fontId="24" fillId="5" borderId="1" xfId="7" applyFont="1" applyFill="1" applyBorder="1" applyAlignment="1" applyProtection="1">
      <alignment horizontal="center" vertical="center"/>
      <protection locked="0"/>
    </xf>
    <xf numFmtId="0" fontId="4" fillId="5" borderId="31" xfId="7" applyFont="1" applyFill="1" applyBorder="1" applyAlignment="1" applyProtection="1">
      <alignment horizontal="center" vertical="center"/>
      <protection locked="0"/>
    </xf>
    <xf numFmtId="0" fontId="4" fillId="5" borderId="31" xfId="7" applyFont="1" applyFill="1" applyBorder="1" applyAlignment="1" applyProtection="1">
      <alignment horizontal="center"/>
      <protection locked="0"/>
    </xf>
    <xf numFmtId="0" fontId="24" fillId="5" borderId="69" xfId="7" applyFont="1" applyFill="1" applyBorder="1" applyAlignment="1" applyProtection="1">
      <alignment horizontal="center" vertical="center"/>
      <protection locked="0"/>
    </xf>
    <xf numFmtId="0" fontId="4" fillId="0" borderId="0" xfId="7" applyFont="1" applyBorder="1" applyProtection="1"/>
    <xf numFmtId="0" fontId="29" fillId="5" borderId="31" xfId="0" applyFont="1" applyFill="1" applyBorder="1" applyAlignment="1" applyProtection="1">
      <alignment horizontal="center" vertical="center"/>
      <protection locked="0"/>
    </xf>
    <xf numFmtId="0" fontId="4" fillId="4" borderId="31" xfId="7" applyFont="1" applyFill="1" applyBorder="1" applyAlignment="1" applyProtection="1">
      <alignment horizontal="center" vertical="center"/>
    </xf>
    <xf numFmtId="0" fontId="4" fillId="4" borderId="1" xfId="7" applyFont="1" applyFill="1" applyBorder="1" applyAlignment="1" applyProtection="1">
      <alignment horizontal="center" vertical="center"/>
    </xf>
    <xf numFmtId="0" fontId="4" fillId="4" borderId="31" xfId="7" applyFont="1" applyFill="1" applyBorder="1" applyAlignment="1" applyProtection="1">
      <alignment horizontal="center"/>
    </xf>
    <xf numFmtId="0" fontId="5" fillId="0" borderId="0" xfId="7" applyFont="1" applyBorder="1" applyAlignment="1" applyProtection="1">
      <alignment horizontal="left"/>
    </xf>
    <xf numFmtId="0" fontId="24" fillId="4" borderId="1" xfId="7" applyFont="1" applyFill="1" applyBorder="1" applyAlignment="1" applyProtection="1">
      <alignment horizontal="center" vertical="center"/>
    </xf>
    <xf numFmtId="0" fontId="24" fillId="4" borderId="31" xfId="7" applyFont="1" applyFill="1" applyBorder="1" applyAlignment="1" applyProtection="1">
      <alignment horizontal="center" vertical="center"/>
    </xf>
    <xf numFmtId="0" fontId="29" fillId="4" borderId="3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25" fillId="0" borderId="0" xfId="7" applyFont="1" applyBorder="1" applyAlignment="1" applyProtection="1">
      <alignment horizontal="left"/>
    </xf>
    <xf numFmtId="0" fontId="25" fillId="0" borderId="58" xfId="7" applyFont="1" applyBorder="1" applyAlignment="1" applyProtection="1">
      <alignment horizontal="left"/>
    </xf>
    <xf numFmtId="0" fontId="6" fillId="0" borderId="0" xfId="7" applyFont="1" applyBorder="1" applyAlignment="1" applyProtection="1">
      <alignment horizontal="left"/>
    </xf>
    <xf numFmtId="0" fontId="25" fillId="0" borderId="70" xfId="7" applyFont="1" applyBorder="1" applyAlignment="1" applyProtection="1">
      <alignment horizontal="left"/>
    </xf>
    <xf numFmtId="0" fontId="25" fillId="0" borderId="71" xfId="7" applyFont="1" applyBorder="1" applyAlignment="1" applyProtection="1">
      <alignment horizontal="left"/>
    </xf>
    <xf numFmtId="0" fontId="25" fillId="0" borderId="72" xfId="7" applyFont="1" applyBorder="1" applyAlignment="1" applyProtection="1">
      <alignment horizontal="left"/>
    </xf>
    <xf numFmtId="0" fontId="24" fillId="5" borderId="73" xfId="7" applyFont="1" applyFill="1" applyBorder="1" applyAlignment="1" applyProtection="1">
      <alignment horizontal="center" vertical="center"/>
      <protection locked="0"/>
    </xf>
    <xf numFmtId="0" fontId="5" fillId="0" borderId="59" xfId="7" applyFont="1" applyBorder="1" applyAlignment="1" applyProtection="1">
      <alignment horizontal="left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1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0" xfId="3" applyFont="1" applyAlignment="1" applyProtection="1">
      <alignment horizontal="center" vertical="center"/>
      <protection hidden="1"/>
    </xf>
    <xf numFmtId="0" fontId="33" fillId="0" borderId="6" xfId="0" applyNumberFormat="1" applyFont="1" applyBorder="1" applyAlignment="1" applyProtection="1">
      <alignment vertical="center"/>
      <protection hidden="1"/>
    </xf>
    <xf numFmtId="0" fontId="33" fillId="0" borderId="15" xfId="0" applyNumberFormat="1" applyFont="1" applyBorder="1" applyAlignment="1" applyProtection="1">
      <alignment vertical="center"/>
      <protection hidden="1"/>
    </xf>
    <xf numFmtId="0" fontId="33" fillId="0" borderId="6" xfId="0" applyNumberFormat="1" applyFont="1" applyBorder="1" applyAlignment="1" applyProtection="1">
      <alignment horizontal="center" vertical="center"/>
      <protection hidden="1"/>
    </xf>
    <xf numFmtId="0" fontId="33" fillId="0" borderId="2" xfId="0" applyNumberFormat="1" applyFont="1" applyBorder="1" applyAlignment="1" applyProtection="1">
      <alignment vertical="center"/>
      <protection hidden="1"/>
    </xf>
    <xf numFmtId="0" fontId="33" fillId="0" borderId="0" xfId="0" applyNumberFormat="1" applyFont="1" applyAlignment="1" applyProtection="1">
      <alignment vertical="center"/>
      <protection hidden="1"/>
    </xf>
    <xf numFmtId="0" fontId="33" fillId="0" borderId="0" xfId="0" applyNumberFormat="1" applyFont="1" applyAlignment="1" applyProtection="1">
      <alignment horizontal="center" vertical="center"/>
      <protection hidden="1"/>
    </xf>
    <xf numFmtId="165" fontId="33" fillId="0" borderId="6" xfId="0" applyNumberFormat="1" applyFont="1" applyBorder="1" applyAlignment="1" applyProtection="1">
      <alignment vertical="center"/>
      <protection hidden="1"/>
    </xf>
    <xf numFmtId="0" fontId="33" fillId="0" borderId="15" xfId="0" applyNumberFormat="1" applyFont="1" applyBorder="1" applyAlignment="1" applyProtection="1">
      <alignment horizontal="center" vertical="center"/>
      <protection hidden="1"/>
    </xf>
    <xf numFmtId="168" fontId="33" fillId="0" borderId="0" xfId="0" applyNumberFormat="1" applyFont="1" applyAlignment="1" applyProtection="1">
      <alignment vertical="center"/>
      <protection hidden="1"/>
    </xf>
    <xf numFmtId="164" fontId="33" fillId="0" borderId="0" xfId="0" applyNumberFormat="1" applyFont="1" applyAlignment="1" applyProtection="1">
      <alignment vertical="center"/>
      <protection hidden="1"/>
    </xf>
    <xf numFmtId="0" fontId="33" fillId="0" borderId="0" xfId="3" applyFont="1" applyAlignment="1" applyProtection="1">
      <alignment vertical="center"/>
      <protection hidden="1"/>
    </xf>
    <xf numFmtId="0" fontId="33" fillId="0" borderId="0" xfId="0" applyNumberFormat="1" applyFont="1" applyBorder="1" applyAlignment="1" applyProtection="1">
      <alignment vertical="center"/>
      <protection hidden="1"/>
    </xf>
    <xf numFmtId="0" fontId="33" fillId="0" borderId="0" xfId="0" applyNumberFormat="1" applyFont="1" applyBorder="1" applyAlignment="1" applyProtection="1">
      <alignment horizontal="center" vertical="center"/>
      <protection hidden="1"/>
    </xf>
    <xf numFmtId="0" fontId="33" fillId="0" borderId="0" xfId="0" applyNumberFormat="1" applyFont="1" applyAlignment="1" applyProtection="1">
      <alignment horizontal="centerContinuous" vertical="center"/>
      <protection hidden="1"/>
    </xf>
    <xf numFmtId="0" fontId="33" fillId="0" borderId="0" xfId="3" applyFont="1" applyAlignment="1" applyProtection="1">
      <alignment horizontal="center" vertical="center"/>
      <protection hidden="1"/>
    </xf>
    <xf numFmtId="0" fontId="33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24" xfId="0" applyNumberFormat="1" applyFont="1" applyBorder="1" applyAlignment="1" applyProtection="1">
      <alignment horizontal="centerContinuous" vertical="center"/>
      <protection hidden="1"/>
    </xf>
    <xf numFmtId="0" fontId="33" fillId="0" borderId="17" xfId="0" applyNumberFormat="1" applyFont="1" applyBorder="1" applyAlignment="1" applyProtection="1">
      <alignment horizontal="center" vertical="center"/>
      <protection hidden="1"/>
    </xf>
    <xf numFmtId="0" fontId="33" fillId="0" borderId="17" xfId="0" applyNumberFormat="1" applyFont="1" applyBorder="1" applyAlignment="1" applyProtection="1">
      <alignment vertical="center"/>
      <protection hidden="1"/>
    </xf>
    <xf numFmtId="0" fontId="33" fillId="0" borderId="25" xfId="0" applyNumberFormat="1" applyFont="1" applyBorder="1" applyAlignment="1" applyProtection="1">
      <alignment horizontal="centerContinuous" vertical="center"/>
      <protection hidden="1"/>
    </xf>
    <xf numFmtId="0" fontId="33" fillId="0" borderId="16" xfId="0" applyNumberFormat="1" applyFont="1" applyBorder="1" applyAlignment="1" applyProtection="1">
      <alignment horizontal="centerContinuous" vertical="center"/>
      <protection hidden="1"/>
    </xf>
    <xf numFmtId="0" fontId="33" fillId="0" borderId="16" xfId="3" applyFont="1" applyBorder="1" applyAlignment="1" applyProtection="1">
      <alignment horizontal="centerContinuous" vertical="center"/>
      <protection hidden="1"/>
    </xf>
    <xf numFmtId="0" fontId="33" fillId="0" borderId="26" xfId="3" applyFont="1" applyBorder="1" applyAlignment="1" applyProtection="1">
      <alignment horizontal="centerContinuous" vertical="center"/>
      <protection hidden="1"/>
    </xf>
    <xf numFmtId="0" fontId="33" fillId="0" borderId="27" xfId="0" applyNumberFormat="1" applyFont="1" applyBorder="1" applyAlignment="1" applyProtection="1">
      <alignment horizontal="left" vertical="center"/>
      <protection hidden="1"/>
    </xf>
    <xf numFmtId="0" fontId="33" fillId="0" borderId="28" xfId="0" applyNumberFormat="1" applyFont="1" applyBorder="1" applyAlignment="1" applyProtection="1">
      <alignment horizontal="left" vertical="center"/>
      <protection hidden="1"/>
    </xf>
    <xf numFmtId="0" fontId="33" fillId="0" borderId="10" xfId="0" applyNumberFormat="1" applyFont="1" applyBorder="1" applyAlignment="1" applyProtection="1">
      <alignment horizontal="left" vertical="center"/>
      <protection hidden="1"/>
    </xf>
    <xf numFmtId="0" fontId="33" fillId="0" borderId="0" xfId="0" applyNumberFormat="1" applyFont="1" applyFill="1" applyBorder="1" applyAlignment="1" applyProtection="1">
      <alignment horizontal="centerContinuous" vertical="center"/>
      <protection hidden="1"/>
    </xf>
    <xf numFmtId="0" fontId="35" fillId="0" borderId="0" xfId="3" applyFont="1" applyAlignment="1" applyProtection="1">
      <alignment horizontal="center" vertical="center"/>
      <protection hidden="1"/>
    </xf>
    <xf numFmtId="0" fontId="33" fillId="0" borderId="29" xfId="0" applyNumberFormat="1" applyFont="1" applyBorder="1" applyAlignment="1" applyProtection="1">
      <alignment vertical="center"/>
      <protection hidden="1"/>
    </xf>
    <xf numFmtId="0" fontId="33" fillId="0" borderId="18" xfId="0" applyNumberFormat="1" applyFont="1" applyBorder="1" applyAlignment="1" applyProtection="1">
      <alignment vertical="center"/>
      <protection hidden="1"/>
    </xf>
    <xf numFmtId="0" fontId="33" fillId="0" borderId="19" xfId="0" applyNumberFormat="1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alignment horizontal="center" vertical="center"/>
      <protection hidden="1"/>
    </xf>
    <xf numFmtId="0" fontId="33" fillId="4" borderId="6" xfId="0" applyNumberFormat="1" applyFont="1" applyFill="1" applyBorder="1" applyAlignment="1" applyProtection="1">
      <alignment vertical="center"/>
      <protection hidden="1"/>
    </xf>
    <xf numFmtId="0" fontId="33" fillId="0" borderId="14" xfId="0" applyNumberFormat="1" applyFont="1" applyBorder="1" applyAlignment="1" applyProtection="1">
      <alignment vertical="center"/>
      <protection hidden="1"/>
    </xf>
    <xf numFmtId="0" fontId="33" fillId="0" borderId="0" xfId="0" applyNumberFormat="1" applyFont="1" applyFill="1" applyBorder="1" applyAlignment="1" applyProtection="1">
      <alignment vertical="center"/>
      <protection hidden="1"/>
    </xf>
    <xf numFmtId="0" fontId="33" fillId="0" borderId="21" xfId="0" applyNumberFormat="1" applyFont="1" applyBorder="1" applyAlignment="1" applyProtection="1">
      <alignment vertical="center"/>
      <protection hidden="1"/>
    </xf>
    <xf numFmtId="0" fontId="33" fillId="4" borderId="6" xfId="0" applyNumberFormat="1" applyFont="1" applyFill="1" applyBorder="1" applyAlignment="1" applyProtection="1">
      <alignment horizontal="center" vertical="center"/>
      <protection hidden="1"/>
    </xf>
    <xf numFmtId="0" fontId="33" fillId="0" borderId="14" xfId="0" applyNumberFormat="1" applyFont="1" applyBorder="1" applyAlignment="1" applyProtection="1">
      <alignment horizontal="center" vertical="center"/>
      <protection hidden="1"/>
    </xf>
    <xf numFmtId="0" fontId="33" fillId="0" borderId="23" xfId="0" applyNumberFormat="1" applyFont="1" applyBorder="1" applyAlignment="1" applyProtection="1">
      <alignment vertical="center"/>
      <protection hidden="1"/>
    </xf>
    <xf numFmtId="0" fontId="33" fillId="0" borderId="67" xfId="0" applyNumberFormat="1" applyFont="1" applyBorder="1" applyAlignment="1" applyProtection="1">
      <alignment horizontal="center" vertical="center"/>
      <protection hidden="1"/>
    </xf>
    <xf numFmtId="0" fontId="33" fillId="0" borderId="4" xfId="0" applyNumberFormat="1" applyFont="1" applyBorder="1" applyAlignment="1" applyProtection="1">
      <alignment horizontal="center" vertical="center"/>
      <protection hidden="1"/>
    </xf>
    <xf numFmtId="0" fontId="33" fillId="0" borderId="68" xfId="0" applyNumberFormat="1" applyFont="1" applyBorder="1" applyAlignment="1" applyProtection="1">
      <alignment horizontal="center" vertical="center"/>
      <protection hidden="1"/>
    </xf>
    <xf numFmtId="0" fontId="33" fillId="0" borderId="21" xfId="0" applyNumberFormat="1" applyFont="1" applyBorder="1" applyAlignment="1" applyProtection="1">
      <alignment horizontal="center" vertical="center"/>
      <protection hidden="1"/>
    </xf>
    <xf numFmtId="0" fontId="33" fillId="0" borderId="10" xfId="0" applyNumberFormat="1" applyFont="1" applyBorder="1" applyAlignment="1" applyProtection="1">
      <alignment horizontal="center" vertical="center"/>
      <protection hidden="1"/>
    </xf>
    <xf numFmtId="0" fontId="33" fillId="0" borderId="5" xfId="0" applyNumberFormat="1" applyFont="1" applyBorder="1" applyAlignment="1" applyProtection="1">
      <alignment horizontal="center" vertical="center"/>
      <protection hidden="1"/>
    </xf>
    <xf numFmtId="0" fontId="33" fillId="0" borderId="22" xfId="0" applyNumberFormat="1" applyFont="1" applyBorder="1" applyAlignment="1" applyProtection="1">
      <alignment horizontal="center" vertical="center"/>
      <protection hidden="1"/>
    </xf>
    <xf numFmtId="0" fontId="33" fillId="0" borderId="30" xfId="0" applyNumberFormat="1" applyFont="1" applyBorder="1" applyAlignment="1" applyProtection="1">
      <alignment horizontal="center" vertical="center"/>
      <protection hidden="1"/>
    </xf>
    <xf numFmtId="0" fontId="33" fillId="0" borderId="31" xfId="0" applyNumberFormat="1" applyFont="1" applyBorder="1" applyAlignment="1" applyProtection="1">
      <alignment horizontal="center" vertical="center"/>
      <protection hidden="1"/>
    </xf>
    <xf numFmtId="0" fontId="34" fillId="0" borderId="32" xfId="0" applyNumberFormat="1" applyFont="1" applyBorder="1" applyAlignment="1" applyProtection="1">
      <alignment horizontal="center" vertical="center"/>
      <protection hidden="1"/>
    </xf>
    <xf numFmtId="0" fontId="33" fillId="0" borderId="33" xfId="0" applyNumberFormat="1" applyFont="1" applyBorder="1" applyAlignment="1" applyProtection="1">
      <alignment horizontal="center" vertical="center"/>
      <protection hidden="1"/>
    </xf>
    <xf numFmtId="0" fontId="33" fillId="0" borderId="34" xfId="0" applyNumberFormat="1" applyFont="1" applyBorder="1" applyAlignment="1" applyProtection="1">
      <alignment horizontal="center" vertical="center"/>
      <protection hidden="1"/>
    </xf>
    <xf numFmtId="0" fontId="33" fillId="0" borderId="1" xfId="0" applyNumberFormat="1" applyFont="1" applyBorder="1" applyAlignment="1" applyProtection="1">
      <alignment horizontal="center" vertical="center"/>
      <protection hidden="1"/>
    </xf>
    <xf numFmtId="0" fontId="33" fillId="0" borderId="35" xfId="0" applyNumberFormat="1" applyFont="1" applyBorder="1" applyAlignment="1" applyProtection="1">
      <alignment horizontal="center" vertical="center"/>
      <protection hidden="1"/>
    </xf>
    <xf numFmtId="0" fontId="34" fillId="2" borderId="1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NumberFormat="1" applyFont="1" applyFill="1" applyBorder="1" applyAlignment="1" applyProtection="1">
      <alignment horizontal="center" vertical="center"/>
      <protection hidden="1"/>
    </xf>
    <xf numFmtId="0" fontId="34" fillId="0" borderId="10" xfId="0" applyFont="1" applyBorder="1" applyAlignment="1" applyProtection="1">
      <alignment horizontal="center" vertical="center"/>
      <protection hidden="1"/>
    </xf>
    <xf numFmtId="0" fontId="34" fillId="2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2" xfId="0" applyNumberFormat="1" applyFont="1" applyFill="1" applyBorder="1" applyAlignment="1" applyProtection="1">
      <alignment horizontal="center" vertical="center"/>
      <protection hidden="1"/>
    </xf>
    <xf numFmtId="0" fontId="34" fillId="2" borderId="2" xfId="0" applyNumberFormat="1" applyFont="1" applyFill="1" applyBorder="1" applyAlignment="1" applyProtection="1">
      <alignment horizontal="center" vertical="center"/>
      <protection hidden="1"/>
    </xf>
    <xf numFmtId="0" fontId="33" fillId="0" borderId="2" xfId="0" applyNumberFormat="1" applyFont="1" applyBorder="1" applyAlignment="1" applyProtection="1">
      <alignment horizontal="center" vertical="center"/>
      <protection hidden="1"/>
    </xf>
    <xf numFmtId="0" fontId="33" fillId="0" borderId="36" xfId="0" applyNumberFormat="1" applyFont="1" applyBorder="1" applyAlignment="1" applyProtection="1">
      <alignment horizontal="center" vertical="center"/>
      <protection hidden="1"/>
    </xf>
    <xf numFmtId="0" fontId="33" fillId="0" borderId="37" xfId="0" applyNumberFormat="1" applyFont="1" applyBorder="1" applyAlignment="1" applyProtection="1">
      <alignment horizontal="center" vertical="center"/>
      <protection hidden="1"/>
    </xf>
    <xf numFmtId="0" fontId="33" fillId="0" borderId="11" xfId="0" applyNumberFormat="1" applyFont="1" applyBorder="1" applyAlignment="1" applyProtection="1">
      <alignment horizontal="center" vertical="center"/>
      <protection hidden="1"/>
    </xf>
    <xf numFmtId="0" fontId="34" fillId="0" borderId="23" xfId="0" applyNumberFormat="1" applyFont="1" applyBorder="1" applyAlignment="1" applyProtection="1">
      <alignment horizontal="center" vertical="center"/>
      <protection hidden="1"/>
    </xf>
    <xf numFmtId="0" fontId="34" fillId="0" borderId="3" xfId="0" applyNumberFormat="1" applyFont="1" applyFill="1" applyBorder="1" applyAlignment="1" applyProtection="1">
      <alignment horizontal="center" vertical="center"/>
      <protection hidden="1"/>
    </xf>
    <xf numFmtId="0" fontId="34" fillId="2" borderId="4" xfId="0" applyNumberFormat="1" applyFont="1" applyFill="1" applyBorder="1" applyAlignment="1" applyProtection="1">
      <alignment horizontal="center" vertical="center"/>
      <protection hidden="1"/>
    </xf>
    <xf numFmtId="0" fontId="34" fillId="0" borderId="10" xfId="0" applyNumberFormat="1" applyFont="1" applyFill="1" applyBorder="1" applyAlignment="1" applyProtection="1">
      <alignment horizontal="center" vertical="center"/>
      <protection hidden="1"/>
    </xf>
    <xf numFmtId="0" fontId="34" fillId="0" borderId="5" xfId="0" applyNumberFormat="1" applyFont="1" applyFill="1" applyBorder="1" applyAlignment="1" applyProtection="1">
      <alignment horizontal="center" vertical="center"/>
      <protection hidden="1"/>
    </xf>
    <xf numFmtId="0" fontId="34" fillId="2" borderId="6" xfId="0" applyNumberFormat="1" applyFont="1" applyFill="1" applyBorder="1" applyAlignment="1" applyProtection="1">
      <alignment horizontal="center" vertical="center"/>
      <protection hidden="1"/>
    </xf>
    <xf numFmtId="0" fontId="34" fillId="0" borderId="38" xfId="0" applyFont="1" applyBorder="1" applyAlignment="1" applyProtection="1">
      <alignment horizontal="center" vertical="center"/>
      <protection hidden="1"/>
    </xf>
    <xf numFmtId="0" fontId="33" fillId="4" borderId="14" xfId="0" applyNumberFormat="1" applyFont="1" applyFill="1" applyBorder="1" applyAlignment="1" applyProtection="1">
      <alignment vertical="center"/>
      <protection hidden="1"/>
    </xf>
    <xf numFmtId="0" fontId="33" fillId="0" borderId="4" xfId="0" applyNumberFormat="1" applyFont="1" applyBorder="1" applyAlignment="1" applyProtection="1">
      <alignment vertical="center"/>
      <protection hidden="1"/>
    </xf>
    <xf numFmtId="0" fontId="33" fillId="0" borderId="3" xfId="0" applyNumberFormat="1" applyFont="1" applyBorder="1" applyAlignment="1" applyProtection="1">
      <alignment vertical="center"/>
      <protection hidden="1"/>
    </xf>
    <xf numFmtId="0" fontId="33" fillId="4" borderId="4" xfId="0" applyNumberFormat="1" applyFont="1" applyFill="1" applyBorder="1" applyAlignment="1" applyProtection="1">
      <alignment horizontal="center" vertical="center"/>
      <protection hidden="1"/>
    </xf>
    <xf numFmtId="0" fontId="33" fillId="0" borderId="12" xfId="0" applyNumberFormat="1" applyFont="1" applyBorder="1" applyAlignment="1" applyProtection="1">
      <alignment horizontal="center" vertical="center"/>
      <protection hidden="1"/>
    </xf>
    <xf numFmtId="0" fontId="33" fillId="0" borderId="13" xfId="0" applyNumberFormat="1" applyFont="1" applyBorder="1" applyAlignment="1" applyProtection="1">
      <alignment horizontal="center" vertical="center"/>
      <protection hidden="1"/>
    </xf>
    <xf numFmtId="0" fontId="34" fillId="2" borderId="3" xfId="0" applyNumberFormat="1" applyFont="1" applyFill="1" applyBorder="1" applyAlignment="1" applyProtection="1">
      <alignment horizontal="center" vertical="center"/>
      <protection hidden="1"/>
    </xf>
    <xf numFmtId="0" fontId="34" fillId="0" borderId="4" xfId="0" applyNumberFormat="1" applyFont="1" applyFill="1" applyBorder="1" applyAlignment="1" applyProtection="1">
      <alignment horizontal="center" vertical="center"/>
      <protection hidden="1"/>
    </xf>
    <xf numFmtId="0" fontId="34" fillId="2" borderId="12" xfId="0" applyNumberFormat="1" applyFont="1" applyFill="1" applyBorder="1" applyAlignment="1" applyProtection="1">
      <alignment horizontal="center" vertical="center"/>
      <protection hidden="1"/>
    </xf>
    <xf numFmtId="0" fontId="34" fillId="0" borderId="11" xfId="0" applyNumberFormat="1" applyFont="1" applyFill="1" applyBorder="1" applyAlignment="1" applyProtection="1">
      <alignment horizontal="center" vertical="center"/>
      <protection hidden="1"/>
    </xf>
    <xf numFmtId="0" fontId="34" fillId="2" borderId="5" xfId="0" applyNumberFormat="1" applyFont="1" applyFill="1" applyBorder="1" applyAlignment="1" applyProtection="1">
      <alignment horizontal="center" vertical="center"/>
      <protection hidden="1"/>
    </xf>
    <xf numFmtId="0" fontId="34" fillId="0" borderId="6" xfId="0" applyNumberFormat="1" applyFont="1" applyFill="1" applyBorder="1" applyAlignment="1" applyProtection="1">
      <alignment horizontal="center" vertical="center"/>
      <protection hidden="1"/>
    </xf>
    <xf numFmtId="0" fontId="34" fillId="0" borderId="13" xfId="0" applyNumberFormat="1" applyFont="1" applyFill="1" applyBorder="1" applyAlignment="1" applyProtection="1">
      <alignment horizontal="center" vertical="center"/>
      <protection hidden="1"/>
    </xf>
    <xf numFmtId="0" fontId="33" fillId="0" borderId="12" xfId="0" applyNumberFormat="1" applyFont="1" applyBorder="1" applyAlignment="1" applyProtection="1">
      <alignment vertical="center"/>
      <protection hidden="1"/>
    </xf>
    <xf numFmtId="0" fontId="34" fillId="2" borderId="11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12" xfId="0" applyNumberFormat="1" applyFont="1" applyFill="1" applyBorder="1" applyAlignment="1" applyProtection="1">
      <alignment horizontal="center" vertical="center"/>
      <protection hidden="1"/>
    </xf>
    <xf numFmtId="0" fontId="34" fillId="0" borderId="34" xfId="0" applyFont="1" applyBorder="1" applyAlignment="1" applyProtection="1">
      <alignment horizontal="center" vertical="center"/>
      <protection hidden="1"/>
    </xf>
    <xf numFmtId="0" fontId="34" fillId="0" borderId="7" xfId="0" applyNumberFormat="1" applyFont="1" applyFill="1" applyBorder="1" applyAlignment="1" applyProtection="1">
      <alignment horizontal="center" vertical="center"/>
      <protection hidden="1"/>
    </xf>
    <xf numFmtId="0" fontId="34" fillId="0" borderId="9" xfId="0" applyNumberFormat="1" applyFont="1" applyFill="1" applyBorder="1" applyAlignment="1" applyProtection="1">
      <alignment horizontal="center" vertical="center"/>
      <protection hidden="1"/>
    </xf>
    <xf numFmtId="0" fontId="34" fillId="2" borderId="8" xfId="0" applyNumberFormat="1" applyFont="1" applyFill="1" applyBorder="1" applyAlignment="1" applyProtection="1">
      <alignment horizontal="center" vertical="center"/>
      <protection hidden="1"/>
    </xf>
    <xf numFmtId="0" fontId="33" fillId="0" borderId="8" xfId="0" applyNumberFormat="1" applyFont="1" applyBorder="1" applyAlignment="1" applyProtection="1">
      <alignment horizontal="center" vertical="center"/>
      <protection hidden="1"/>
    </xf>
    <xf numFmtId="0" fontId="33" fillId="0" borderId="39" xfId="0" applyNumberFormat="1" applyFont="1" applyBorder="1" applyAlignment="1" applyProtection="1">
      <alignment horizontal="center" vertical="center"/>
      <protection hidden="1"/>
    </xf>
    <xf numFmtId="0" fontId="33" fillId="0" borderId="7" xfId="0" applyNumberFormat="1" applyFont="1" applyBorder="1" applyAlignment="1" applyProtection="1">
      <alignment vertical="center"/>
      <protection hidden="1"/>
    </xf>
    <xf numFmtId="0" fontId="33" fillId="0" borderId="9" xfId="0" applyNumberFormat="1" applyFont="1" applyBorder="1" applyAlignment="1" applyProtection="1">
      <alignment vertical="center"/>
      <protection hidden="1"/>
    </xf>
    <xf numFmtId="0" fontId="33" fillId="0" borderId="40" xfId="3" applyFont="1" applyBorder="1" applyAlignment="1" applyProtection="1">
      <alignment vertical="center"/>
      <protection hidden="1"/>
    </xf>
    <xf numFmtId="0" fontId="33" fillId="0" borderId="40" xfId="0" applyNumberFormat="1" applyFont="1" applyBorder="1" applyAlignment="1" applyProtection="1">
      <alignment vertical="center"/>
      <protection hidden="1"/>
    </xf>
    <xf numFmtId="0" fontId="33" fillId="0" borderId="41" xfId="3" applyFont="1" applyBorder="1" applyAlignment="1" applyProtection="1">
      <alignment vertical="center"/>
      <protection hidden="1"/>
    </xf>
    <xf numFmtId="0" fontId="33" fillId="0" borderId="42" xfId="3" applyFont="1" applyBorder="1" applyAlignment="1" applyProtection="1">
      <alignment vertical="center"/>
      <protection hidden="1"/>
    </xf>
    <xf numFmtId="0" fontId="34" fillId="0" borderId="43" xfId="0" applyNumberFormat="1" applyFont="1" applyBorder="1" applyAlignment="1" applyProtection="1">
      <alignment horizontal="center" vertical="center"/>
      <protection hidden="1"/>
    </xf>
    <xf numFmtId="0" fontId="34" fillId="0" borderId="44" xfId="0" applyNumberFormat="1" applyFont="1" applyBorder="1" applyAlignment="1" applyProtection="1">
      <alignment horizontal="center" vertical="center"/>
      <protection hidden="1"/>
    </xf>
    <xf numFmtId="0" fontId="34" fillId="0" borderId="8" xfId="0" applyNumberFormat="1" applyFont="1" applyBorder="1" applyAlignment="1" applyProtection="1">
      <alignment horizontal="center" vertical="center"/>
      <protection hidden="1"/>
    </xf>
    <xf numFmtId="0" fontId="34" fillId="0" borderId="10" xfId="0" applyNumberFormat="1" applyFont="1" applyBorder="1" applyAlignment="1" applyProtection="1">
      <alignment horizontal="center" vertical="center"/>
      <protection hidden="1"/>
    </xf>
    <xf numFmtId="0" fontId="33" fillId="0" borderId="20" xfId="0" applyNumberFormat="1" applyFont="1" applyBorder="1" applyAlignment="1" applyProtection="1">
      <alignment vertical="center"/>
      <protection hidden="1"/>
    </xf>
    <xf numFmtId="0" fontId="33" fillId="0" borderId="20" xfId="0" applyNumberFormat="1" applyFont="1" applyBorder="1" applyAlignment="1" applyProtection="1">
      <alignment horizontal="center" vertical="center"/>
      <protection hidden="1"/>
    </xf>
    <xf numFmtId="0" fontId="40" fillId="0" borderId="0" xfId="0" applyFont="1" applyAlignment="1">
      <alignment vertical="center"/>
    </xf>
    <xf numFmtId="0" fontId="37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vertical="center"/>
    </xf>
    <xf numFmtId="0" fontId="55" fillId="0" borderId="0" xfId="7" applyFont="1" applyAlignment="1" applyProtection="1">
      <alignment horizontal="centerContinuous"/>
    </xf>
    <xf numFmtId="0" fontId="46" fillId="0" borderId="0" xfId="7" applyFont="1" applyAlignment="1" applyProtection="1">
      <alignment horizontal="centerContinuous"/>
    </xf>
    <xf numFmtId="0" fontId="56" fillId="0" borderId="0" xfId="7" applyFont="1" applyProtection="1"/>
    <xf numFmtId="0" fontId="33" fillId="0" borderId="0" xfId="7" applyFont="1" applyProtection="1"/>
    <xf numFmtId="0" fontId="33" fillId="0" borderId="0" xfId="0" applyFont="1" applyProtection="1"/>
    <xf numFmtId="0" fontId="33" fillId="0" borderId="0" xfId="7" applyFont="1" applyBorder="1" applyProtection="1"/>
    <xf numFmtId="0" fontId="47" fillId="0" borderId="14" xfId="7" applyFont="1" applyBorder="1" applyAlignment="1" applyProtection="1">
      <alignment horizontal="center"/>
    </xf>
    <xf numFmtId="0" fontId="33" fillId="0" borderId="0" xfId="7" quotePrefix="1" applyFont="1" applyAlignment="1" applyProtection="1"/>
    <xf numFmtId="0" fontId="33" fillId="0" borderId="0" xfId="7" applyFont="1" applyAlignment="1" applyProtection="1">
      <alignment horizontal="center"/>
    </xf>
    <xf numFmtId="0" fontId="35" fillId="4" borderId="91" xfId="7" applyFont="1" applyFill="1" applyBorder="1" applyAlignment="1" applyProtection="1">
      <alignment horizontal="center" vertical="center"/>
    </xf>
    <xf numFmtId="0" fontId="35" fillId="0" borderId="31" xfId="8" applyFont="1" applyBorder="1" applyAlignment="1" applyProtection="1">
      <alignment vertical="center"/>
    </xf>
    <xf numFmtId="0" fontId="33" fillId="0" borderId="31" xfId="7" applyFont="1" applyBorder="1" applyAlignment="1" applyProtection="1">
      <alignment horizontal="centerContinuous"/>
    </xf>
    <xf numFmtId="0" fontId="33" fillId="0" borderId="0" xfId="7" applyFont="1" applyBorder="1" applyAlignment="1" applyProtection="1">
      <alignment horizontal="center"/>
    </xf>
    <xf numFmtId="0" fontId="33" fillId="0" borderId="31" xfId="7" applyFont="1" applyBorder="1" applyAlignment="1" applyProtection="1"/>
    <xf numFmtId="0" fontId="35" fillId="5" borderId="31" xfId="7" applyFont="1" applyFill="1" applyBorder="1" applyAlignment="1" applyProtection="1">
      <alignment horizontal="center" vertical="center"/>
      <protection locked="0"/>
    </xf>
    <xf numFmtId="0" fontId="36" fillId="0" borderId="31" xfId="8" applyFont="1" applyBorder="1" applyAlignment="1" applyProtection="1">
      <alignment vertical="center"/>
    </xf>
    <xf numFmtId="0" fontId="33" fillId="0" borderId="34" xfId="7" applyFont="1" applyBorder="1" applyAlignment="1" applyProtection="1">
      <alignment horizontal="centerContinuous"/>
    </xf>
    <xf numFmtId="0" fontId="33" fillId="0" borderId="0" xfId="7" applyFont="1" applyAlignment="1" applyProtection="1">
      <alignment horizontal="centerContinuous"/>
    </xf>
    <xf numFmtId="0" fontId="33" fillId="0" borderId="38" xfId="7" applyFont="1" applyBorder="1" applyAlignment="1" applyProtection="1">
      <alignment horizontal="right"/>
    </xf>
    <xf numFmtId="0" fontId="33" fillId="0" borderId="31" xfId="7" applyFont="1" applyBorder="1" applyAlignment="1" applyProtection="1">
      <alignment horizontal="right"/>
    </xf>
    <xf numFmtId="0" fontId="33" fillId="0" borderId="31" xfId="7" applyFont="1" applyBorder="1" applyProtection="1"/>
    <xf numFmtId="0" fontId="33" fillId="0" borderId="0" xfId="7" applyFont="1" applyBorder="1" applyAlignment="1" applyProtection="1">
      <alignment horizontal="centerContinuous"/>
    </xf>
    <xf numFmtId="0" fontId="33" fillId="0" borderId="38" xfId="7" applyFont="1" applyBorder="1" applyProtection="1"/>
    <xf numFmtId="0" fontId="35" fillId="4" borderId="31" xfId="7" applyFont="1" applyFill="1" applyBorder="1" applyAlignment="1" applyProtection="1">
      <alignment horizontal="center" vertical="center"/>
    </xf>
    <xf numFmtId="0" fontId="35" fillId="0" borderId="31" xfId="7" applyFont="1" applyBorder="1" applyAlignment="1" applyProtection="1">
      <alignment horizontal="centerContinuous"/>
    </xf>
    <xf numFmtId="0" fontId="35" fillId="5" borderId="1" xfId="7" applyFont="1" applyFill="1" applyBorder="1" applyAlignment="1" applyProtection="1">
      <alignment horizontal="center" vertical="center"/>
      <protection locked="0"/>
    </xf>
    <xf numFmtId="0" fontId="33" fillId="0" borderId="34" xfId="7" applyFont="1" applyBorder="1" applyAlignment="1" applyProtection="1"/>
    <xf numFmtId="0" fontId="33" fillId="0" borderId="2" xfId="7" applyFont="1" applyBorder="1" applyProtection="1"/>
    <xf numFmtId="0" fontId="33" fillId="0" borderId="2" xfId="7" applyFont="1" applyBorder="1" applyAlignment="1" applyProtection="1">
      <alignment horizontal="center"/>
    </xf>
    <xf numFmtId="0" fontId="36" fillId="0" borderId="31" xfId="8" applyFont="1" applyBorder="1" applyAlignment="1" applyProtection="1">
      <alignment horizontal="left" vertical="center"/>
    </xf>
    <xf numFmtId="0" fontId="47" fillId="0" borderId="14" xfId="7" applyFont="1" applyFill="1" applyBorder="1" applyAlignment="1" applyProtection="1">
      <alignment horizontal="center"/>
    </xf>
    <xf numFmtId="0" fontId="33" fillId="0" borderId="0" xfId="7" applyFont="1" applyFill="1" applyBorder="1" applyAlignment="1" applyProtection="1">
      <alignment horizontal="center"/>
    </xf>
    <xf numFmtId="0" fontId="33" fillId="0" borderId="0" xfId="7" applyFont="1" applyFill="1" applyBorder="1" applyAlignment="1" applyProtection="1">
      <alignment horizontal="left"/>
    </xf>
    <xf numFmtId="0" fontId="33" fillId="0" borderId="0" xfId="7" applyFont="1" applyFill="1" applyBorder="1" applyProtection="1"/>
    <xf numFmtId="0" fontId="33" fillId="0" borderId="2" xfId="0" applyFont="1" applyBorder="1" applyProtection="1"/>
    <xf numFmtId="0" fontId="33" fillId="0" borderId="0" xfId="7" applyFont="1" applyBorder="1" applyAlignment="1" applyProtection="1">
      <alignment horizontal="right"/>
    </xf>
    <xf numFmtId="0" fontId="33" fillId="0" borderId="38" xfId="0" applyFont="1" applyBorder="1" applyProtection="1"/>
    <xf numFmtId="0" fontId="33" fillId="0" borderId="0" xfId="7" applyFont="1" applyBorder="1" applyAlignment="1" applyProtection="1"/>
    <xf numFmtId="0" fontId="41" fillId="0" borderId="0" xfId="7" applyFont="1" applyAlignment="1" applyProtection="1">
      <alignment horizontal="center"/>
    </xf>
    <xf numFmtId="0" fontId="58" fillId="0" borderId="0" xfId="7" applyFont="1" applyAlignment="1" applyProtection="1">
      <alignment horizontal="center"/>
    </xf>
    <xf numFmtId="0" fontId="33" fillId="0" borderId="12" xfId="7" applyFont="1" applyBorder="1" applyProtection="1"/>
    <xf numFmtId="0" fontId="33" fillId="0" borderId="0" xfId="7" applyFont="1" applyFill="1" applyBorder="1" applyAlignment="1" applyProtection="1">
      <alignment horizontal="right"/>
    </xf>
    <xf numFmtId="0" fontId="33" fillId="0" borderId="31" xfId="7" applyFont="1" applyBorder="1" applyAlignment="1" applyProtection="1">
      <alignment horizontal="left"/>
    </xf>
    <xf numFmtId="0" fontId="33" fillId="0" borderId="0" xfId="0" applyFont="1" applyBorder="1" applyProtection="1"/>
    <xf numFmtId="0" fontId="33" fillId="0" borderId="6" xfId="0" applyFont="1" applyBorder="1" applyProtection="1"/>
    <xf numFmtId="0" fontId="33" fillId="0" borderId="57" xfId="7" applyFont="1" applyBorder="1" applyProtection="1"/>
    <xf numFmtId="0" fontId="35" fillId="5" borderId="31" xfId="7" applyFont="1" applyFill="1" applyBorder="1" applyAlignment="1" applyProtection="1">
      <alignment horizontal="center"/>
      <protection locked="0"/>
    </xf>
    <xf numFmtId="0" fontId="33" fillId="0" borderId="0" xfId="7" applyFont="1" applyAlignment="1" applyProtection="1">
      <alignment horizontal="left"/>
    </xf>
    <xf numFmtId="0" fontId="33" fillId="0" borderId="0" xfId="7" applyFont="1" applyAlignment="1" applyProtection="1">
      <alignment horizontal="right"/>
    </xf>
    <xf numFmtId="0" fontId="33" fillId="0" borderId="34" xfId="7" applyFont="1" applyBorder="1" applyProtection="1"/>
    <xf numFmtId="0" fontId="41" fillId="0" borderId="0" xfId="7" applyFont="1" applyBorder="1" applyProtection="1"/>
    <xf numFmtId="0" fontId="33" fillId="0" borderId="0" xfId="7" quotePrefix="1" applyFont="1" applyBorder="1" applyProtection="1"/>
    <xf numFmtId="0" fontId="59" fillId="0" borderId="0" xfId="7" quotePrefix="1" applyFont="1" applyAlignment="1" applyProtection="1">
      <alignment horizontal="left"/>
    </xf>
    <xf numFmtId="0" fontId="33" fillId="0" borderId="34" xfId="7" applyFont="1" applyBorder="1" applyAlignment="1" applyProtection="1">
      <alignment horizontal="right"/>
    </xf>
    <xf numFmtId="0" fontId="33" fillId="0" borderId="0" xfId="0" quotePrefix="1" applyFont="1" applyProtection="1"/>
    <xf numFmtId="0" fontId="33" fillId="4" borderId="91" xfId="7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Continuous"/>
    </xf>
    <xf numFmtId="0" fontId="36" fillId="0" borderId="0" xfId="7" applyFont="1" applyAlignment="1" applyProtection="1">
      <alignment horizontal="center"/>
    </xf>
    <xf numFmtId="0" fontId="34" fillId="4" borderId="45" xfId="7" applyFont="1" applyFill="1" applyBorder="1" applyAlignment="1" applyProtection="1">
      <alignment horizontal="left"/>
    </xf>
    <xf numFmtId="0" fontId="33" fillId="4" borderId="46" xfId="7" applyFont="1" applyFill="1" applyBorder="1" applyAlignment="1" applyProtection="1">
      <alignment horizontal="centerContinuous"/>
    </xf>
    <xf numFmtId="0" fontId="47" fillId="4" borderId="47" xfId="7" applyFont="1" applyFill="1" applyBorder="1" applyAlignment="1" applyProtection="1">
      <alignment horizontal="center"/>
      <protection locked="0"/>
    </xf>
    <xf numFmtId="0" fontId="47" fillId="4" borderId="46" xfId="7" applyFont="1" applyFill="1" applyBorder="1" applyAlignment="1" applyProtection="1">
      <alignment horizontal="center"/>
      <protection locked="0"/>
    </xf>
    <xf numFmtId="0" fontId="35" fillId="0" borderId="4" xfId="7" applyFont="1" applyBorder="1" applyAlignment="1" applyProtection="1">
      <alignment horizontal="centerContinuous" vertical="center"/>
    </xf>
    <xf numFmtId="0" fontId="35" fillId="0" borderId="11" xfId="7" applyFont="1" applyBorder="1" applyAlignment="1" applyProtection="1">
      <alignment horizontal="centerContinuous" vertical="center"/>
    </xf>
    <xf numFmtId="0" fontId="34" fillId="0" borderId="111" xfId="7" applyFont="1" applyBorder="1" applyAlignment="1" applyProtection="1">
      <alignment horizontal="centerContinuous" vertical="center"/>
    </xf>
    <xf numFmtId="0" fontId="33" fillId="4" borderId="48" xfId="7" applyFont="1" applyFill="1" applyBorder="1" applyAlignment="1" applyProtection="1"/>
    <xf numFmtId="0" fontId="33" fillId="4" borderId="49" xfId="7" applyFont="1" applyFill="1" applyBorder="1" applyProtection="1"/>
    <xf numFmtId="0" fontId="33" fillId="4" borderId="50" xfId="7" applyFont="1" applyFill="1" applyBorder="1" applyAlignment="1" applyProtection="1">
      <alignment horizontal="center"/>
    </xf>
    <xf numFmtId="0" fontId="35" fillId="4" borderId="45" xfId="7" applyFont="1" applyFill="1" applyBorder="1" applyAlignment="1" applyProtection="1">
      <alignment horizontal="centerContinuous" vertical="center"/>
    </xf>
    <xf numFmtId="0" fontId="34" fillId="4" borderId="51" xfId="7" applyFont="1" applyFill="1" applyBorder="1" applyAlignment="1" applyProtection="1">
      <alignment horizontal="centerContinuous" vertical="center"/>
    </xf>
    <xf numFmtId="0" fontId="41" fillId="0" borderId="0" xfId="7" applyFont="1" applyProtection="1"/>
    <xf numFmtId="0" fontId="60" fillId="0" borderId="12" xfId="7" applyFont="1" applyBorder="1" applyAlignment="1" applyProtection="1">
      <alignment horizontal="center" vertical="center"/>
      <protection locked="0"/>
    </xf>
    <xf numFmtId="0" fontId="33" fillId="4" borderId="52" xfId="7" applyFont="1" applyFill="1" applyBorder="1" applyAlignment="1" applyProtection="1"/>
    <xf numFmtId="0" fontId="33" fillId="4" borderId="0" xfId="7" applyFont="1" applyFill="1" applyBorder="1" applyProtection="1"/>
    <xf numFmtId="0" fontId="33" fillId="4" borderId="53" xfId="7" applyFont="1" applyFill="1" applyBorder="1" applyAlignment="1" applyProtection="1">
      <alignment horizontal="center"/>
    </xf>
    <xf numFmtId="0" fontId="33" fillId="4" borderId="52" xfId="7" applyFont="1" applyFill="1" applyBorder="1" applyProtection="1"/>
    <xf numFmtId="0" fontId="33" fillId="4" borderId="54" xfId="7" applyFont="1" applyFill="1" applyBorder="1" applyProtection="1"/>
    <xf numFmtId="0" fontId="33" fillId="4" borderId="55" xfId="7" applyFont="1" applyFill="1" applyBorder="1" applyProtection="1"/>
    <xf numFmtId="0" fontId="33" fillId="4" borderId="56" xfId="7" applyFont="1" applyFill="1" applyBorder="1" applyAlignment="1" applyProtection="1">
      <alignment horizontal="center"/>
    </xf>
    <xf numFmtId="0" fontId="33" fillId="0" borderId="2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33" fillId="0" borderId="38" xfId="0" applyFont="1" applyBorder="1" applyAlignment="1">
      <alignment vertical="center"/>
    </xf>
    <xf numFmtId="0" fontId="41" fillId="0" borderId="2" xfId="0" applyFont="1" applyBorder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40" fillId="0" borderId="38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61" fillId="8" borderId="0" xfId="0" applyFont="1" applyFill="1" applyBorder="1" applyAlignment="1">
      <alignment horizontal="center" vertical="center"/>
    </xf>
    <xf numFmtId="0" fontId="41" fillId="0" borderId="2" xfId="6" applyFont="1" applyBorder="1" applyAlignment="1">
      <alignment vertical="center"/>
    </xf>
    <xf numFmtId="0" fontId="35" fillId="0" borderId="0" xfId="6" applyFont="1" applyBorder="1" applyAlignment="1">
      <alignment vertical="center"/>
    </xf>
    <xf numFmtId="0" fontId="41" fillId="0" borderId="0" xfId="6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38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38" xfId="6" applyFont="1" applyBorder="1" applyAlignment="1">
      <alignment vertical="center"/>
    </xf>
    <xf numFmtId="0" fontId="41" fillId="0" borderId="0" xfId="0" applyFont="1" applyAlignment="1">
      <alignment vertical="center"/>
    </xf>
    <xf numFmtId="0" fontId="62" fillId="0" borderId="2" xfId="6" applyFont="1" applyBorder="1" applyAlignment="1">
      <alignment horizontal="center" vertical="center"/>
    </xf>
    <xf numFmtId="0" fontId="62" fillId="0" borderId="0" xfId="6" applyFont="1" applyBorder="1" applyAlignment="1">
      <alignment horizontal="center" vertical="center"/>
    </xf>
    <xf numFmtId="0" fontId="35" fillId="9" borderId="14" xfId="6" applyFont="1" applyFill="1" applyBorder="1" applyAlignment="1">
      <alignment horizontal="center" vertical="center"/>
    </xf>
    <xf numFmtId="0" fontId="35" fillId="9" borderId="12" xfId="6" applyFont="1" applyFill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33" fillId="0" borderId="91" xfId="0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0" fontId="63" fillId="0" borderId="2" xfId="0" applyFont="1" applyBorder="1" applyAlignment="1">
      <alignment vertical="center"/>
    </xf>
    <xf numFmtId="0" fontId="33" fillId="9" borderId="14" xfId="0" applyFont="1" applyFill="1" applyBorder="1" applyAlignment="1">
      <alignment vertical="center"/>
    </xf>
    <xf numFmtId="0" fontId="33" fillId="4" borderId="14" xfId="0" applyFont="1" applyFill="1" applyBorder="1" applyAlignment="1">
      <alignment vertical="center"/>
    </xf>
    <xf numFmtId="0" fontId="33" fillId="9" borderId="57" xfId="0" applyFont="1" applyFill="1" applyBorder="1" applyAlignment="1">
      <alignment vertical="center"/>
    </xf>
    <xf numFmtId="0" fontId="33" fillId="9" borderId="91" xfId="0" applyFont="1" applyFill="1" applyBorder="1" applyAlignment="1">
      <alignment vertical="center"/>
    </xf>
    <xf numFmtId="0" fontId="33" fillId="4" borderId="91" xfId="0" applyFont="1" applyFill="1" applyBorder="1" applyAlignment="1">
      <alignment vertical="center"/>
    </xf>
    <xf numFmtId="0" fontId="33" fillId="9" borderId="34" xfId="0" applyFont="1" applyFill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34" fillId="0" borderId="12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49" fillId="0" borderId="1" xfId="6" applyFont="1" applyBorder="1" applyAlignment="1">
      <alignment vertical="center"/>
    </xf>
    <xf numFmtId="20" fontId="37" fillId="0" borderId="0" xfId="0" applyNumberFormat="1" applyFont="1" applyBorder="1" applyAlignment="1">
      <alignment vertical="center"/>
    </xf>
    <xf numFmtId="0" fontId="35" fillId="4" borderId="14" xfId="6" applyFont="1" applyFill="1" applyBorder="1" applyAlignment="1">
      <alignment horizontal="center" vertical="center"/>
    </xf>
    <xf numFmtId="0" fontId="63" fillId="0" borderId="2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33" fillId="0" borderId="2" xfId="6" applyFont="1" applyBorder="1" applyAlignment="1">
      <alignment vertical="center"/>
    </xf>
    <xf numFmtId="0" fontId="33" fillId="0" borderId="0" xfId="6" applyFont="1" applyBorder="1" applyAlignment="1">
      <alignment vertical="center"/>
    </xf>
    <xf numFmtId="0" fontId="33" fillId="0" borderId="38" xfId="6" applyFont="1" applyBorder="1" applyAlignment="1">
      <alignment vertical="center"/>
    </xf>
    <xf numFmtId="0" fontId="63" fillId="0" borderId="2" xfId="0" applyFont="1" applyBorder="1" applyAlignment="1">
      <alignment horizontal="center" vertical="center"/>
    </xf>
    <xf numFmtId="20" fontId="35" fillId="0" borderId="0" xfId="0" applyNumberFormat="1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41" fillId="0" borderId="0" xfId="6" applyFont="1" applyFill="1" applyBorder="1" applyAlignment="1">
      <alignment vertical="center"/>
    </xf>
    <xf numFmtId="0" fontId="41" fillId="0" borderId="38" xfId="6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45" fillId="0" borderId="0" xfId="0" applyNumberFormat="1" applyFont="1" applyBorder="1" applyAlignment="1">
      <alignment horizontal="center" vertical="center"/>
    </xf>
    <xf numFmtId="0" fontId="33" fillId="0" borderId="0" xfId="6" applyFont="1" applyFill="1" applyBorder="1" applyAlignment="1">
      <alignment vertical="center"/>
    </xf>
    <xf numFmtId="0" fontId="33" fillId="0" borderId="0" xfId="1" applyFont="1" applyProtection="1">
      <protection hidden="1"/>
    </xf>
    <xf numFmtId="0" fontId="33" fillId="0" borderId="0" xfId="1" applyFont="1" applyAlignment="1" applyProtection="1">
      <alignment vertical="center"/>
      <protection hidden="1"/>
    </xf>
    <xf numFmtId="0" fontId="64" fillId="0" borderId="0" xfId="1" applyFont="1" applyProtection="1">
      <protection hidden="1"/>
    </xf>
    <xf numFmtId="0" fontId="34" fillId="0" borderId="12" xfId="1" applyFont="1" applyBorder="1" applyAlignment="1" applyProtection="1">
      <alignment horizontal="center" vertical="center"/>
      <protection hidden="1"/>
    </xf>
    <xf numFmtId="0" fontId="34" fillId="4" borderId="12" xfId="1" applyFont="1" applyFill="1" applyBorder="1" applyAlignment="1" applyProtection="1">
      <alignment horizontal="center" vertical="center"/>
      <protection hidden="1"/>
    </xf>
    <xf numFmtId="0" fontId="34" fillId="0" borderId="12" xfId="1" applyFont="1" applyBorder="1" applyAlignment="1" applyProtection="1">
      <alignment horizontal="centerContinuous" vertical="center"/>
      <protection hidden="1"/>
    </xf>
    <xf numFmtId="0" fontId="34" fillId="0" borderId="111" xfId="1" applyFont="1" applyBorder="1" applyAlignment="1" applyProtection="1">
      <alignment horizontal="centerContinuous" vertical="center"/>
      <protection hidden="1"/>
    </xf>
    <xf numFmtId="0" fontId="33" fillId="0" borderId="12" xfId="8" applyFont="1" applyBorder="1" applyAlignment="1" applyProtection="1">
      <alignment horizontal="center" vertical="center"/>
      <protection hidden="1"/>
    </xf>
    <xf numFmtId="0" fontId="65" fillId="4" borderId="12" xfId="1" applyFont="1" applyFill="1" applyBorder="1" applyAlignment="1" applyProtection="1">
      <alignment horizontal="center" vertical="center"/>
      <protection hidden="1"/>
    </xf>
    <xf numFmtId="0" fontId="33" fillId="0" borderId="12" xfId="8" applyFont="1" applyBorder="1" applyAlignment="1" applyProtection="1">
      <alignment horizontal="left" vertical="center"/>
      <protection hidden="1"/>
    </xf>
    <xf numFmtId="0" fontId="33" fillId="0" borderId="1" xfId="8" applyFont="1" applyBorder="1" applyAlignment="1" applyProtection="1">
      <alignment horizontal="centerContinuous" vertical="center"/>
      <protection hidden="1"/>
    </xf>
    <xf numFmtId="0" fontId="33" fillId="0" borderId="1" xfId="8" applyFont="1" applyBorder="1" applyAlignment="1" applyProtection="1">
      <alignment horizontal="left" vertical="center"/>
      <protection hidden="1"/>
    </xf>
    <xf numFmtId="0" fontId="35" fillId="0" borderId="0" xfId="1" applyFont="1" applyProtection="1">
      <protection hidden="1"/>
    </xf>
    <xf numFmtId="0" fontId="25" fillId="0" borderId="70" xfId="7" applyFont="1" applyBorder="1" applyAlignment="1" applyProtection="1">
      <alignment horizontal="center"/>
    </xf>
    <xf numFmtId="0" fontId="25" fillId="0" borderId="71" xfId="7" applyFont="1" applyBorder="1" applyAlignment="1" applyProtection="1">
      <alignment horizontal="center"/>
    </xf>
    <xf numFmtId="0" fontId="25" fillId="0" borderId="72" xfId="7" applyFont="1" applyBorder="1" applyAlignment="1" applyProtection="1">
      <alignment horizontal="center"/>
    </xf>
    <xf numFmtId="0" fontId="35" fillId="9" borderId="111" xfId="6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3" fillId="0" borderId="2" xfId="6" applyFont="1" applyBorder="1" applyAlignment="1">
      <alignment horizontal="center" vertical="center"/>
    </xf>
    <xf numFmtId="0" fontId="33" fillId="0" borderId="0" xfId="6" applyFont="1" applyBorder="1" applyAlignment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center"/>
    </xf>
    <xf numFmtId="0" fontId="37" fillId="0" borderId="0" xfId="0" quotePrefix="1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right" vertical="center"/>
    </xf>
    <xf numFmtId="167" fontId="37" fillId="0" borderId="0" xfId="0" applyNumberFormat="1" applyFont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center" vertical="center"/>
    </xf>
    <xf numFmtId="0" fontId="7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center" vertical="center"/>
    </xf>
    <xf numFmtId="0" fontId="40" fillId="0" borderId="55" xfId="0" applyFont="1" applyBorder="1" applyAlignment="1" applyProtection="1">
      <alignment vertical="center"/>
    </xf>
    <xf numFmtId="0" fontId="37" fillId="0" borderId="79" xfId="0" applyFont="1" applyFill="1" applyBorder="1" applyAlignment="1" applyProtection="1">
      <alignment horizontal="center" vertical="center"/>
    </xf>
    <xf numFmtId="0" fontId="40" fillId="0" borderId="55" xfId="0" applyFont="1" applyBorder="1" applyAlignment="1" applyProtection="1">
      <alignment horizontal="center" vertical="center"/>
    </xf>
    <xf numFmtId="0" fontId="40" fillId="0" borderId="47" xfId="0" applyFont="1" applyBorder="1" applyAlignment="1" applyProtection="1">
      <alignment horizontal="center" vertical="center"/>
    </xf>
    <xf numFmtId="0" fontId="40" fillId="0" borderId="46" xfId="0" applyFont="1" applyBorder="1" applyAlignment="1" applyProtection="1">
      <alignment horizontal="center" vertical="center"/>
    </xf>
    <xf numFmtId="0" fontId="40" fillId="0" borderId="55" xfId="0" applyFont="1" applyBorder="1" applyAlignment="1" applyProtection="1">
      <alignment horizontal="left" vertical="center"/>
    </xf>
    <xf numFmtId="0" fontId="37" fillId="5" borderId="54" xfId="0" applyFont="1" applyFill="1" applyBorder="1" applyAlignment="1" applyProtection="1">
      <alignment horizontal="center" vertical="center"/>
    </xf>
    <xf numFmtId="0" fontId="37" fillId="5" borderId="80" xfId="0" applyFont="1" applyFill="1" applyBorder="1" applyAlignment="1" applyProtection="1">
      <alignment horizontal="center" vertical="center"/>
    </xf>
    <xf numFmtId="0" fontId="37" fillId="5" borderId="81" xfId="0" applyFont="1" applyFill="1" applyBorder="1" applyAlignment="1" applyProtection="1">
      <alignment horizontal="center" vertical="center"/>
    </xf>
    <xf numFmtId="0" fontId="37" fillId="5" borderId="55" xfId="0" applyFont="1" applyFill="1" applyBorder="1" applyAlignment="1" applyProtection="1">
      <alignment horizontal="center" vertical="center"/>
    </xf>
    <xf numFmtId="0" fontId="37" fillId="0" borderId="54" xfId="0" applyFont="1" applyBorder="1" applyAlignment="1" applyProtection="1">
      <alignment horizontal="center" vertical="center"/>
    </xf>
    <xf numFmtId="0" fontId="37" fillId="0" borderId="80" xfId="0" applyFont="1" applyBorder="1" applyAlignment="1" applyProtection="1">
      <alignment horizontal="center" vertical="center"/>
    </xf>
    <xf numFmtId="0" fontId="37" fillId="0" borderId="119" xfId="0" applyFont="1" applyBorder="1" applyAlignment="1" applyProtection="1">
      <alignment horizontal="center" vertical="center"/>
    </xf>
    <xf numFmtId="0" fontId="37" fillId="0" borderId="85" xfId="0" applyFont="1" applyBorder="1" applyAlignment="1" applyProtection="1">
      <alignment horizontal="center" vertical="center"/>
    </xf>
    <xf numFmtId="0" fontId="37" fillId="0" borderId="82" xfId="0" applyFont="1" applyBorder="1" applyAlignment="1" applyProtection="1">
      <alignment horizontal="center" vertical="center"/>
    </xf>
    <xf numFmtId="0" fontId="37" fillId="0" borderId="83" xfId="0" applyFont="1" applyBorder="1" applyAlignment="1" applyProtection="1">
      <alignment horizontal="center" vertical="center"/>
    </xf>
    <xf numFmtId="0" fontId="39" fillId="3" borderId="82" xfId="0" applyFont="1" applyFill="1" applyBorder="1" applyAlignment="1" applyProtection="1">
      <alignment horizontal="center" vertical="center"/>
    </xf>
    <xf numFmtId="20" fontId="39" fillId="0" borderId="84" xfId="0" applyNumberFormat="1" applyFont="1" applyBorder="1" applyAlignment="1" applyProtection="1">
      <alignment horizontal="center" vertical="center"/>
    </xf>
    <xf numFmtId="0" fontId="39" fillId="0" borderId="84" xfId="0" applyFont="1" applyBorder="1" applyAlignment="1" applyProtection="1">
      <alignment horizontal="center" vertical="center"/>
    </xf>
    <xf numFmtId="0" fontId="40" fillId="0" borderId="82" xfId="0" applyFont="1" applyBorder="1" applyAlignment="1" applyProtection="1">
      <alignment horizontal="center" vertical="center"/>
    </xf>
    <xf numFmtId="166" fontId="40" fillId="0" borderId="85" xfId="0" applyNumberFormat="1" applyFont="1" applyBorder="1" applyAlignment="1" applyProtection="1">
      <alignment horizontal="center" vertical="center"/>
      <protection locked="0"/>
    </xf>
    <xf numFmtId="166" fontId="40" fillId="0" borderId="86" xfId="0" applyNumberFormat="1" applyFont="1" applyBorder="1" applyAlignment="1" applyProtection="1">
      <alignment horizontal="center" vertical="center"/>
      <protection locked="0"/>
    </xf>
    <xf numFmtId="166" fontId="40" fillId="0" borderId="118" xfId="0" applyNumberFormat="1" applyFont="1" applyBorder="1" applyAlignment="1" applyProtection="1">
      <alignment horizontal="center" vertical="center"/>
      <protection locked="0"/>
    </xf>
    <xf numFmtId="0" fontId="40" fillId="0" borderId="52" xfId="0" applyFont="1" applyFill="1" applyBorder="1" applyAlignment="1" applyProtection="1">
      <alignment horizontal="center" vertical="center"/>
    </xf>
    <xf numFmtId="0" fontId="37" fillId="0" borderId="102" xfId="5" applyFont="1" applyBorder="1" applyAlignment="1" applyProtection="1">
      <alignment horizontal="center" vertical="center"/>
      <protection hidden="1"/>
    </xf>
    <xf numFmtId="0" fontId="37" fillId="6" borderId="86" xfId="0" applyFont="1" applyFill="1" applyBorder="1" applyAlignment="1" applyProtection="1">
      <alignment horizontal="center" vertical="center"/>
    </xf>
    <xf numFmtId="0" fontId="37" fillId="0" borderId="118" xfId="5" applyFont="1" applyBorder="1" applyAlignment="1" applyProtection="1">
      <alignment horizontal="center" vertical="center"/>
      <protection hidden="1"/>
    </xf>
    <xf numFmtId="0" fontId="37" fillId="0" borderId="67" xfId="0" applyFont="1" applyBorder="1" applyAlignment="1" applyProtection="1">
      <alignment horizontal="center" vertical="center"/>
    </xf>
    <xf numFmtId="0" fontId="37" fillId="0" borderId="11" xfId="0" applyFont="1" applyBorder="1" applyAlignment="1" applyProtection="1">
      <alignment horizontal="center" vertical="center"/>
    </xf>
    <xf numFmtId="0" fontId="37" fillId="0" borderId="89" xfId="0" applyFont="1" applyBorder="1" applyAlignment="1" applyProtection="1">
      <alignment horizontal="center" vertical="center"/>
    </xf>
    <xf numFmtId="0" fontId="39" fillId="3" borderId="11" xfId="0" applyFont="1" applyFill="1" applyBorder="1" applyAlignment="1" applyProtection="1">
      <alignment horizontal="center" vertical="center"/>
    </xf>
    <xf numFmtId="20" fontId="39" fillId="0" borderId="23" xfId="0" applyNumberFormat="1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center" vertical="center"/>
    </xf>
    <xf numFmtId="0" fontId="40" fillId="0" borderId="11" xfId="0" applyFont="1" applyBorder="1" applyAlignment="1" applyProtection="1">
      <alignment horizontal="center" vertical="center"/>
    </xf>
    <xf numFmtId="166" fontId="40" fillId="0" borderId="67" xfId="0" applyNumberFormat="1" applyFont="1" applyFill="1" applyBorder="1" applyAlignment="1" applyProtection="1">
      <alignment horizontal="center" vertical="center"/>
      <protection locked="0"/>
    </xf>
    <xf numFmtId="166" fontId="40" fillId="0" borderId="12" xfId="0" applyNumberFormat="1" applyFont="1" applyFill="1" applyBorder="1" applyAlignment="1" applyProtection="1">
      <alignment horizontal="center" vertical="center"/>
      <protection locked="0"/>
    </xf>
    <xf numFmtId="166" fontId="40" fillId="0" borderId="12" xfId="0" applyNumberFormat="1" applyFont="1" applyBorder="1" applyAlignment="1" applyProtection="1">
      <alignment horizontal="center" vertical="center"/>
      <protection locked="0"/>
    </xf>
    <xf numFmtId="166" fontId="40" fillId="0" borderId="104" xfId="0" applyNumberFormat="1" applyFont="1" applyBorder="1" applyAlignment="1" applyProtection="1">
      <alignment horizontal="center" vertical="center"/>
      <protection locked="0"/>
    </xf>
    <xf numFmtId="0" fontId="37" fillId="6" borderId="103" xfId="0" applyFont="1" applyFill="1" applyBorder="1" applyAlignment="1" applyProtection="1">
      <alignment horizontal="center" vertical="center"/>
    </xf>
    <xf numFmtId="0" fontId="37" fillId="0" borderId="12" xfId="5" applyFont="1" applyBorder="1" applyAlignment="1" applyProtection="1">
      <alignment horizontal="center" vertical="center"/>
      <protection hidden="1"/>
    </xf>
    <xf numFmtId="0" fontId="37" fillId="6" borderId="104" xfId="0" applyFont="1" applyFill="1" applyBorder="1" applyAlignment="1" applyProtection="1">
      <alignment horizontal="center" vertical="center"/>
    </xf>
    <xf numFmtId="166" fontId="40" fillId="0" borderId="67" xfId="0" applyNumberFormat="1" applyFont="1" applyBorder="1" applyAlignment="1" applyProtection="1">
      <alignment horizontal="center" vertical="center"/>
      <protection locked="0"/>
    </xf>
    <xf numFmtId="0" fontId="37" fillId="0" borderId="103" xfId="5" applyFont="1" applyBorder="1" applyAlignment="1" applyProtection="1">
      <alignment horizontal="center" vertical="center"/>
      <protection hidden="1"/>
    </xf>
    <xf numFmtId="0" fontId="37" fillId="6" borderId="12" xfId="0" applyFont="1" applyFill="1" applyBorder="1" applyAlignment="1" applyProtection="1">
      <alignment horizontal="center" vertical="center"/>
    </xf>
    <xf numFmtId="0" fontId="37" fillId="0" borderId="104" xfId="5" applyFont="1" applyBorder="1" applyAlignment="1" applyProtection="1">
      <alignment horizontal="center" vertical="center"/>
      <protection hidden="1"/>
    </xf>
    <xf numFmtId="0" fontId="37" fillId="0" borderId="55" xfId="0" applyFont="1" applyBorder="1" applyAlignment="1" applyProtection="1">
      <alignment horizontal="center" vertical="center"/>
    </xf>
    <xf numFmtId="0" fontId="37" fillId="0" borderId="56" xfId="0" applyFont="1" applyBorder="1" applyAlignment="1" applyProtection="1">
      <alignment horizontal="center" vertical="center"/>
    </xf>
    <xf numFmtId="0" fontId="39" fillId="3" borderId="55" xfId="0" applyFont="1" applyFill="1" applyBorder="1" applyAlignment="1" applyProtection="1">
      <alignment horizontal="center" vertical="center"/>
    </xf>
    <xf numFmtId="20" fontId="39" fillId="0" borderId="120" xfId="0" applyNumberFormat="1" applyFont="1" applyBorder="1" applyAlignment="1" applyProtection="1">
      <alignment horizontal="center" vertical="center"/>
    </xf>
    <xf numFmtId="0" fontId="39" fillId="0" borderId="120" xfId="0" applyFont="1" applyBorder="1" applyAlignment="1" applyProtection="1">
      <alignment horizontal="center" vertical="center"/>
    </xf>
    <xf numFmtId="166" fontId="40" fillId="0" borderId="54" xfId="0" applyNumberFormat="1" applyFont="1" applyBorder="1" applyAlignment="1" applyProtection="1">
      <alignment horizontal="center" vertical="center"/>
      <protection locked="0"/>
    </xf>
    <xf numFmtId="166" fontId="40" fillId="0" borderId="81" xfId="0" applyNumberFormat="1" applyFont="1" applyBorder="1" applyAlignment="1" applyProtection="1">
      <alignment horizontal="center" vertical="center"/>
      <protection locked="0"/>
    </xf>
    <xf numFmtId="166" fontId="40" fillId="0" borderId="119" xfId="0" applyNumberFormat="1" applyFont="1" applyBorder="1" applyAlignment="1" applyProtection="1">
      <alignment horizontal="center" vertical="center"/>
      <protection locked="0"/>
    </xf>
    <xf numFmtId="0" fontId="37" fillId="6" borderId="105" xfId="0" applyFont="1" applyFill="1" applyBorder="1" applyAlignment="1" applyProtection="1">
      <alignment horizontal="center" vertical="center"/>
    </xf>
    <xf numFmtId="0" fontId="37" fillId="6" borderId="106" xfId="0" applyFont="1" applyFill="1" applyBorder="1" applyAlignment="1" applyProtection="1">
      <alignment horizontal="center" vertical="center"/>
    </xf>
    <xf numFmtId="0" fontId="37" fillId="0" borderId="106" xfId="5" applyFont="1" applyBorder="1" applyAlignment="1" applyProtection="1">
      <alignment horizontal="center" vertical="center"/>
      <protection hidden="1"/>
    </xf>
    <xf numFmtId="0" fontId="37" fillId="0" borderId="107" xfId="5" applyFont="1" applyBorder="1" applyAlignment="1" applyProtection="1">
      <alignment horizontal="center" vertical="center"/>
      <protection hidden="1"/>
    </xf>
    <xf numFmtId="0" fontId="61" fillId="0" borderId="0" xfId="0" applyFont="1" applyBorder="1" applyAlignment="1" applyProtection="1">
      <alignment vertical="center"/>
    </xf>
    <xf numFmtId="0" fontId="37" fillId="0" borderId="52" xfId="0" applyFont="1" applyFill="1" applyBorder="1" applyAlignment="1" applyProtection="1">
      <alignment horizontal="center" vertical="center"/>
    </xf>
    <xf numFmtId="0" fontId="43" fillId="0" borderId="108" xfId="0" applyFont="1" applyBorder="1" applyAlignment="1" applyProtection="1">
      <alignment horizontal="center" vertical="center"/>
    </xf>
    <xf numFmtId="0" fontId="43" fillId="0" borderId="91" xfId="0" applyFont="1" applyBorder="1" applyAlignment="1" applyProtection="1">
      <alignment horizontal="center" vertical="center"/>
    </xf>
    <xf numFmtId="0" fontId="43" fillId="0" borderId="124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left" vertical="center"/>
    </xf>
    <xf numFmtId="0" fontId="76" fillId="0" borderId="0" xfId="3" applyFont="1" applyBorder="1" applyAlignment="1" applyProtection="1">
      <alignment horizontal="center"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77" fillId="0" borderId="0" xfId="3" applyFont="1" applyBorder="1" applyAlignment="1" applyProtection="1">
      <alignment horizontal="center" vertical="center"/>
      <protection hidden="1"/>
    </xf>
    <xf numFmtId="0" fontId="37" fillId="0" borderId="105" xfId="0" applyFont="1" applyBorder="1" applyAlignment="1" applyProtection="1">
      <alignment horizontal="center" vertical="center"/>
    </xf>
    <xf numFmtId="0" fontId="37" fillId="0" borderId="106" xfId="0" applyFont="1" applyBorder="1" applyAlignment="1" applyProtection="1">
      <alignment horizontal="center" vertical="center"/>
    </xf>
    <xf numFmtId="0" fontId="37" fillId="0" borderId="107" xfId="0" applyFont="1" applyBorder="1" applyAlignment="1" applyProtection="1">
      <alignment horizontal="center" vertical="center"/>
    </xf>
    <xf numFmtId="0" fontId="40" fillId="0" borderId="84" xfId="0" applyFont="1" applyBorder="1" applyAlignment="1" applyProtection="1">
      <alignment horizontal="center" vertical="center"/>
    </xf>
    <xf numFmtId="0" fontId="40" fillId="0" borderId="23" xfId="0" applyFont="1" applyBorder="1" applyAlignment="1" applyProtection="1">
      <alignment horizontal="center" vertical="center"/>
    </xf>
    <xf numFmtId="0" fontId="40" fillId="0" borderId="126" xfId="0" applyFont="1" applyBorder="1" applyAlignment="1" applyProtection="1">
      <alignment horizontal="center" vertical="center"/>
    </xf>
    <xf numFmtId="0" fontId="40" fillId="0" borderId="127" xfId="0" applyFont="1" applyBorder="1" applyAlignment="1" applyProtection="1">
      <alignment vertical="center"/>
    </xf>
    <xf numFmtId="166" fontId="73" fillId="0" borderId="85" xfId="0" applyNumberFormat="1" applyFont="1" applyBorder="1" applyAlignment="1" applyProtection="1">
      <alignment horizontal="center" vertical="center"/>
      <protection locked="0"/>
    </xf>
    <xf numFmtId="166" fontId="73" fillId="0" borderId="86" xfId="0" applyNumberFormat="1" applyFont="1" applyBorder="1" applyAlignment="1" applyProtection="1">
      <alignment horizontal="center" vertical="center"/>
      <protection locked="0"/>
    </xf>
    <xf numFmtId="166" fontId="73" fillId="0" borderId="67" xfId="0" applyNumberFormat="1" applyFont="1" applyBorder="1" applyAlignment="1" applyProtection="1">
      <alignment horizontal="center" vertical="center"/>
      <protection locked="0"/>
    </xf>
    <xf numFmtId="166" fontId="73" fillId="0" borderId="12" xfId="0" applyNumberFormat="1" applyFont="1" applyBorder="1" applyAlignment="1" applyProtection="1">
      <alignment horizontal="center" vertical="center"/>
      <protection locked="0"/>
    </xf>
    <xf numFmtId="166" fontId="73" fillId="0" borderId="52" xfId="0" applyNumberFormat="1" applyFont="1" applyBorder="1" applyAlignment="1" applyProtection="1">
      <alignment horizontal="center" vertical="center"/>
      <protection locked="0"/>
    </xf>
    <xf numFmtId="166" fontId="73" fillId="0" borderId="13" xfId="0" applyNumberFormat="1" applyFont="1" applyBorder="1" applyAlignment="1" applyProtection="1">
      <alignment horizontal="center" vertical="center"/>
      <protection locked="0"/>
    </xf>
    <xf numFmtId="166" fontId="40" fillId="0" borderId="13" xfId="0" applyNumberFormat="1" applyFont="1" applyBorder="1" applyAlignment="1" applyProtection="1">
      <alignment horizontal="center" vertical="center"/>
      <protection locked="0"/>
    </xf>
    <xf numFmtId="0" fontId="43" fillId="0" borderId="102" xfId="0" applyFont="1" applyBorder="1" applyAlignment="1" applyProtection="1">
      <alignment horizontal="center" vertical="center"/>
    </xf>
    <xf numFmtId="0" fontId="43" fillId="0" borderId="86" xfId="0" applyFont="1" applyBorder="1" applyAlignment="1" applyProtection="1">
      <alignment horizontal="center" vertical="center"/>
    </xf>
    <xf numFmtId="0" fontId="72" fillId="0" borderId="118" xfId="0" applyFont="1" applyBorder="1" applyAlignment="1" applyProtection="1">
      <alignment horizontal="center" vertical="center"/>
    </xf>
    <xf numFmtId="0" fontId="72" fillId="0" borderId="107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0" fontId="42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7" fillId="5" borderId="94" xfId="0" applyFont="1" applyFill="1" applyBorder="1" applyAlignment="1" applyProtection="1">
      <alignment horizontal="center"/>
      <protection locked="0"/>
    </xf>
    <xf numFmtId="0" fontId="47" fillId="5" borderId="78" xfId="0" applyFont="1" applyFill="1" applyBorder="1" applyAlignment="1" applyProtection="1">
      <alignment horizontal="center"/>
      <protection locked="0"/>
    </xf>
    <xf numFmtId="167" fontId="47" fillId="5" borderId="93" xfId="0" applyNumberFormat="1" applyFont="1" applyFill="1" applyBorder="1" applyAlignment="1" applyProtection="1">
      <alignment horizontal="center"/>
      <protection locked="0"/>
    </xf>
    <xf numFmtId="0" fontId="47" fillId="5" borderId="98" xfId="0" applyFont="1" applyFill="1" applyBorder="1" applyAlignment="1" applyProtection="1">
      <alignment horizontal="center"/>
      <protection locked="0"/>
    </xf>
    <xf numFmtId="20" fontId="47" fillId="5" borderId="12" xfId="0" applyNumberFormat="1" applyFont="1" applyFill="1" applyBorder="1" applyAlignment="1" applyProtection="1">
      <alignment horizontal="center"/>
      <protection locked="0"/>
    </xf>
    <xf numFmtId="0" fontId="47" fillId="5" borderId="90" xfId="0" applyFont="1" applyFill="1" applyBorder="1" applyAlignment="1" applyProtection="1">
      <alignment horizontal="center"/>
      <protection locked="0"/>
    </xf>
    <xf numFmtId="0" fontId="47" fillId="5" borderId="39" xfId="0" applyFont="1" applyFill="1" applyBorder="1" applyAlignment="1" applyProtection="1">
      <alignment horizontal="center"/>
      <protection locked="0"/>
    </xf>
    <xf numFmtId="0" fontId="47" fillId="5" borderId="12" xfId="0" applyFont="1" applyFill="1" applyBorder="1" applyAlignment="1" applyProtection="1">
      <alignment horizontal="center"/>
      <protection locked="0"/>
    </xf>
    <xf numFmtId="0" fontId="47" fillId="5" borderId="44" xfId="0" applyFont="1" applyFill="1" applyBorder="1" applyAlignment="1" applyProtection="1">
      <alignment horizontal="center"/>
      <protection locked="0"/>
    </xf>
    <xf numFmtId="0" fontId="47" fillId="5" borderId="104" xfId="0" applyFont="1" applyFill="1" applyBorder="1" applyAlignment="1" applyProtection="1">
      <alignment horizontal="center"/>
      <protection locked="0"/>
    </xf>
    <xf numFmtId="0" fontId="47" fillId="5" borderId="106" xfId="0" applyFont="1" applyFill="1" applyBorder="1" applyAlignment="1" applyProtection="1">
      <alignment horizontal="center"/>
      <protection locked="0"/>
    </xf>
    <xf numFmtId="0" fontId="47" fillId="5" borderId="107" xfId="0" applyFont="1" applyFill="1" applyBorder="1" applyAlignment="1" applyProtection="1">
      <alignment horizontal="center"/>
      <protection locked="0"/>
    </xf>
    <xf numFmtId="0" fontId="47" fillId="5" borderId="14" xfId="0" applyFont="1" applyFill="1" applyBorder="1" applyAlignment="1" applyProtection="1">
      <alignment horizontal="center"/>
      <protection locked="0"/>
    </xf>
    <xf numFmtId="0" fontId="47" fillId="5" borderId="110" xfId="0" applyFont="1" applyFill="1" applyBorder="1" applyAlignment="1" applyProtection="1">
      <alignment horizontal="center"/>
      <protection locked="0"/>
    </xf>
    <xf numFmtId="0" fontId="34" fillId="0" borderId="17" xfId="0" applyFont="1" applyBorder="1" applyAlignment="1" applyProtection="1">
      <alignment horizontal="right"/>
    </xf>
    <xf numFmtId="0" fontId="42" fillId="0" borderId="0" xfId="0" applyFont="1" applyProtection="1"/>
    <xf numFmtId="0" fontId="34" fillId="0" borderId="10" xfId="0" applyFont="1" applyBorder="1" applyProtection="1"/>
    <xf numFmtId="0" fontId="34" fillId="0" borderId="0" xfId="0" applyFont="1" applyBorder="1" applyAlignment="1" applyProtection="1">
      <alignment horizontal="right"/>
    </xf>
    <xf numFmtId="0" fontId="34" fillId="0" borderId="0" xfId="0" applyFont="1" applyBorder="1" applyProtection="1"/>
    <xf numFmtId="0" fontId="33" fillId="0" borderId="78" xfId="0" applyFont="1" applyBorder="1" applyProtection="1"/>
    <xf numFmtId="0" fontId="34" fillId="0" borderId="0" xfId="0" applyFont="1" applyAlignment="1" applyProtection="1">
      <alignment horizontal="right"/>
    </xf>
    <xf numFmtId="0" fontId="34" fillId="0" borderId="0" xfId="0" applyFont="1" applyProtection="1"/>
    <xf numFmtId="0" fontId="34" fillId="0" borderId="92" xfId="0" applyFont="1" applyBorder="1" applyProtection="1"/>
    <xf numFmtId="0" fontId="34" fillId="0" borderId="40" xfId="0" applyFont="1" applyFill="1" applyBorder="1" applyAlignment="1" applyProtection="1">
      <alignment horizontal="right"/>
    </xf>
    <xf numFmtId="0" fontId="33" fillId="0" borderId="0" xfId="0" applyFont="1" applyFill="1" applyProtection="1"/>
    <xf numFmtId="167" fontId="34" fillId="0" borderId="0" xfId="0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167" fontId="34" fillId="0" borderId="0" xfId="0" applyNumberFormat="1" applyFont="1" applyFill="1" applyAlignment="1" applyProtection="1">
      <alignment horizontal="center"/>
    </xf>
    <xf numFmtId="0" fontId="42" fillId="0" borderId="0" xfId="0" applyFont="1" applyFill="1" applyProtection="1"/>
    <xf numFmtId="0" fontId="33" fillId="3" borderId="95" xfId="0" applyFont="1" applyFill="1" applyBorder="1" applyAlignment="1" applyProtection="1">
      <alignment horizontal="center"/>
    </xf>
    <xf numFmtId="0" fontId="33" fillId="3" borderId="96" xfId="0" applyFont="1" applyFill="1" applyBorder="1" applyAlignment="1" applyProtection="1">
      <alignment horizontal="center"/>
    </xf>
    <xf numFmtId="0" fontId="33" fillId="3" borderId="97" xfId="0" applyFont="1" applyFill="1" applyBorder="1" applyAlignment="1" applyProtection="1">
      <alignment horizontal="center"/>
    </xf>
    <xf numFmtId="0" fontId="47" fillId="5" borderId="98" xfId="0" applyFont="1" applyFill="1" applyBorder="1" applyAlignment="1" applyProtection="1">
      <alignment horizontal="center"/>
    </xf>
    <xf numFmtId="0" fontId="33" fillId="0" borderId="37" xfId="0" applyFont="1" applyBorder="1" applyAlignment="1" applyProtection="1">
      <alignment horizontal="center"/>
    </xf>
    <xf numFmtId="20" fontId="33" fillId="0" borderId="12" xfId="0" quotePrefix="1" applyNumberFormat="1" applyFont="1" applyFill="1" applyBorder="1" applyAlignment="1" applyProtection="1">
      <alignment horizontal="center"/>
    </xf>
    <xf numFmtId="0" fontId="34" fillId="0" borderId="99" xfId="0" applyFont="1" applyBorder="1" applyAlignment="1" applyProtection="1">
      <alignment horizontal="center"/>
    </xf>
    <xf numFmtId="0" fontId="33" fillId="0" borderId="100" xfId="0" applyFont="1" applyBorder="1" applyProtection="1"/>
    <xf numFmtId="0" fontId="33" fillId="0" borderId="101" xfId="0" applyFont="1" applyBorder="1" applyAlignment="1" applyProtection="1">
      <alignment horizontal="center"/>
    </xf>
    <xf numFmtId="20" fontId="33" fillId="0" borderId="44" xfId="0" quotePrefix="1" applyNumberFormat="1" applyFont="1" applyFill="1" applyBorder="1" applyAlignment="1" applyProtection="1">
      <alignment horizontal="center"/>
    </xf>
    <xf numFmtId="0" fontId="34" fillId="0" borderId="0" xfId="0" applyFont="1" applyAlignment="1" applyProtection="1">
      <alignment horizontal="left"/>
    </xf>
    <xf numFmtId="0" fontId="33" fillId="0" borderId="0" xfId="0" applyFont="1" applyBorder="1" applyAlignment="1" applyProtection="1">
      <alignment horizontal="center"/>
    </xf>
    <xf numFmtId="20" fontId="48" fillId="0" borderId="0" xfId="0" quotePrefix="1" applyNumberFormat="1" applyFont="1" applyFill="1" applyBorder="1" applyAlignment="1" applyProtection="1">
      <alignment horizontal="center"/>
    </xf>
    <xf numFmtId="0" fontId="48" fillId="0" borderId="0" xfId="0" applyFont="1" applyFill="1" applyBorder="1" applyAlignment="1" applyProtection="1">
      <alignment horizontal="center"/>
    </xf>
    <xf numFmtId="0" fontId="33" fillId="0" borderId="17" xfId="0" applyFont="1" applyBorder="1" applyProtection="1"/>
    <xf numFmtId="0" fontId="33" fillId="7" borderId="37" xfId="0" quotePrefix="1" applyFont="1" applyFill="1" applyBorder="1" applyAlignment="1" applyProtection="1">
      <alignment horizontal="center"/>
    </xf>
    <xf numFmtId="0" fontId="33" fillId="7" borderId="12" xfId="0" applyFont="1" applyFill="1" applyBorder="1" applyAlignment="1" applyProtection="1">
      <alignment horizontal="center"/>
    </xf>
    <xf numFmtId="0" fontId="33" fillId="7" borderId="90" xfId="0" applyFont="1" applyFill="1" applyBorder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33" fillId="7" borderId="37" xfId="0" applyFont="1" applyFill="1" applyBorder="1" applyAlignment="1" applyProtection="1">
      <alignment horizontal="center"/>
    </xf>
    <xf numFmtId="0" fontId="33" fillId="0" borderId="12" xfId="0" applyFont="1" applyBorder="1" applyAlignment="1" applyProtection="1">
      <alignment horizontal="center"/>
    </xf>
    <xf numFmtId="0" fontId="33" fillId="0" borderId="37" xfId="0" quotePrefix="1" applyFont="1" applyBorder="1" applyAlignment="1" applyProtection="1">
      <alignment horizontal="center"/>
    </xf>
    <xf numFmtId="20" fontId="33" fillId="0" borderId="12" xfId="0" applyNumberFormat="1" applyFont="1" applyBorder="1" applyAlignment="1" applyProtection="1">
      <alignment horizontal="center"/>
    </xf>
    <xf numFmtId="20" fontId="33" fillId="0" borderId="12" xfId="0" applyNumberFormat="1" applyFont="1" applyFill="1" applyBorder="1" applyAlignment="1" applyProtection="1">
      <alignment horizontal="center"/>
    </xf>
    <xf numFmtId="0" fontId="33" fillId="0" borderId="101" xfId="0" quotePrefix="1" applyFont="1" applyBorder="1" applyAlignment="1" applyProtection="1">
      <alignment horizontal="center"/>
    </xf>
    <xf numFmtId="20" fontId="33" fillId="0" borderId="44" xfId="0" applyNumberFormat="1" applyFont="1" applyBorder="1" applyAlignment="1" applyProtection="1">
      <alignment horizontal="center"/>
    </xf>
    <xf numFmtId="0" fontId="33" fillId="0" borderId="40" xfId="0" applyFont="1" applyBorder="1" applyProtection="1"/>
    <xf numFmtId="0" fontId="33" fillId="0" borderId="44" xfId="0" applyFont="1" applyBorder="1" applyAlignment="1" applyProtection="1">
      <alignment horizontal="center"/>
    </xf>
    <xf numFmtId="0" fontId="33" fillId="0" borderId="0" xfId="0" quotePrefix="1" applyFont="1" applyBorder="1" applyAlignment="1" applyProtection="1">
      <alignment horizontal="center"/>
    </xf>
    <xf numFmtId="20" fontId="33" fillId="0" borderId="0" xfId="0" applyNumberFormat="1" applyFont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20" fontId="33" fillId="0" borderId="0" xfId="0" applyNumberFormat="1" applyFont="1" applyFill="1" applyBorder="1" applyAlignment="1" applyProtection="1">
      <alignment horizontal="center"/>
    </xf>
    <xf numFmtId="0" fontId="33" fillId="3" borderId="102" xfId="0" applyFont="1" applyFill="1" applyBorder="1" applyAlignment="1" applyProtection="1">
      <alignment horizontal="center"/>
    </xf>
    <xf numFmtId="0" fontId="33" fillId="0" borderId="49" xfId="0" applyFont="1" applyBorder="1" applyProtection="1"/>
    <xf numFmtId="0" fontId="33" fillId="3" borderId="86" xfId="0" applyFont="1" applyFill="1" applyBorder="1" applyAlignment="1" applyProtection="1">
      <alignment horizontal="center"/>
    </xf>
    <xf numFmtId="0" fontId="33" fillId="7" borderId="103" xfId="0" applyFont="1" applyFill="1" applyBorder="1" applyAlignment="1" applyProtection="1">
      <alignment horizontal="center"/>
    </xf>
    <xf numFmtId="0" fontId="33" fillId="7" borderId="104" xfId="0" applyFont="1" applyFill="1" applyBorder="1" applyAlignment="1" applyProtection="1">
      <alignment horizontal="center"/>
    </xf>
    <xf numFmtId="0" fontId="33" fillId="0" borderId="103" xfId="0" applyFont="1" applyBorder="1" applyAlignment="1" applyProtection="1">
      <alignment horizontal="center"/>
    </xf>
    <xf numFmtId="0" fontId="47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Protection="1"/>
    <xf numFmtId="0" fontId="47" fillId="0" borderId="104" xfId="0" applyFont="1" applyFill="1" applyBorder="1" applyAlignment="1" applyProtection="1">
      <alignment horizontal="center"/>
    </xf>
    <xf numFmtId="0" fontId="33" fillId="0" borderId="105" xfId="0" applyFont="1" applyBorder="1" applyAlignment="1" applyProtection="1">
      <alignment horizontal="center"/>
    </xf>
    <xf numFmtId="20" fontId="33" fillId="0" borderId="106" xfId="0" applyNumberFormat="1" applyFont="1" applyBorder="1" applyAlignment="1" applyProtection="1">
      <alignment horizontal="center"/>
    </xf>
    <xf numFmtId="0" fontId="33" fillId="0" borderId="55" xfId="0" applyFont="1" applyBorder="1" applyProtection="1"/>
    <xf numFmtId="0" fontId="33" fillId="0" borderId="106" xfId="0" applyFont="1" applyBorder="1" applyAlignment="1" applyProtection="1">
      <alignment horizontal="center"/>
    </xf>
    <xf numFmtId="20" fontId="33" fillId="0" borderId="106" xfId="0" applyNumberFormat="1" applyFont="1" applyFill="1" applyBorder="1" applyAlignment="1" applyProtection="1">
      <alignment horizontal="center"/>
    </xf>
    <xf numFmtId="0" fontId="33" fillId="0" borderId="17" xfId="0" applyFont="1" applyFill="1" applyBorder="1" applyProtection="1"/>
    <xf numFmtId="0" fontId="47" fillId="0" borderId="90" xfId="0" applyFont="1" applyFill="1" applyBorder="1" applyAlignment="1" applyProtection="1">
      <alignment horizontal="center"/>
    </xf>
    <xf numFmtId="0" fontId="33" fillId="0" borderId="108" xfId="0" applyFont="1" applyFill="1" applyBorder="1" applyAlignment="1" applyProtection="1">
      <alignment horizontal="center"/>
    </xf>
    <xf numFmtId="0" fontId="33" fillId="0" borderId="91" xfId="0" applyFont="1" applyFill="1" applyBorder="1" applyAlignment="1" applyProtection="1">
      <alignment horizontal="center"/>
    </xf>
    <xf numFmtId="0" fontId="33" fillId="7" borderId="109" xfId="0" applyFont="1" applyFill="1" applyBorder="1" applyAlignment="1" applyProtection="1">
      <alignment horizontal="center"/>
    </xf>
    <xf numFmtId="0" fontId="33" fillId="7" borderId="14" xfId="0" applyFont="1" applyFill="1" applyBorder="1" applyAlignment="1" applyProtection="1">
      <alignment horizontal="center"/>
    </xf>
    <xf numFmtId="0" fontId="33" fillId="7" borderId="105" xfId="0" applyFont="1" applyFill="1" applyBorder="1" applyAlignment="1" applyProtection="1">
      <alignment horizontal="center"/>
    </xf>
    <xf numFmtId="0" fontId="33" fillId="0" borderId="55" xfId="0" applyFont="1" applyFill="1" applyBorder="1" applyProtection="1"/>
    <xf numFmtId="0" fontId="33" fillId="7" borderId="106" xfId="0" applyFont="1" applyFill="1" applyBorder="1" applyAlignment="1" applyProtection="1">
      <alignment horizontal="center"/>
    </xf>
    <xf numFmtId="0" fontId="37" fillId="0" borderId="0" xfId="2" applyFont="1" applyAlignment="1" applyProtection="1">
      <alignment horizontal="left" vertical="center"/>
    </xf>
    <xf numFmtId="0" fontId="49" fillId="0" borderId="0" xfId="2" applyFont="1" applyAlignment="1" applyProtection="1">
      <alignment vertical="center"/>
    </xf>
    <xf numFmtId="0" fontId="49" fillId="0" borderId="0" xfId="2" applyFont="1" applyAlignment="1" applyProtection="1">
      <alignment horizontal="center" vertical="center"/>
    </xf>
    <xf numFmtId="0" fontId="50" fillId="0" borderId="0" xfId="2" applyFont="1" applyAlignment="1" applyProtection="1">
      <alignment horizontal="left" vertical="center"/>
    </xf>
    <xf numFmtId="0" fontId="51" fillId="0" borderId="0" xfId="2" applyFont="1" applyAlignment="1" applyProtection="1">
      <alignment horizontal="right" vertical="center"/>
    </xf>
    <xf numFmtId="0" fontId="49" fillId="3" borderId="0" xfId="2" applyFont="1" applyFill="1" applyAlignment="1" applyProtection="1">
      <alignment vertical="center"/>
    </xf>
    <xf numFmtId="0" fontId="51" fillId="0" borderId="0" xfId="2" applyFont="1" applyAlignment="1" applyProtection="1">
      <alignment vertical="center"/>
    </xf>
    <xf numFmtId="0" fontId="51" fillId="0" borderId="0" xfId="2" applyFont="1" applyAlignment="1" applyProtection="1">
      <alignment horizontal="center" vertical="center"/>
    </xf>
    <xf numFmtId="0" fontId="51" fillId="0" borderId="0" xfId="2" applyFont="1" applyAlignment="1" applyProtection="1">
      <alignment horizontal="left" vertical="center"/>
    </xf>
    <xf numFmtId="0" fontId="52" fillId="0" borderId="0" xfId="2" applyFont="1" applyAlignment="1" applyProtection="1">
      <alignment horizontal="center" vertical="center"/>
    </xf>
    <xf numFmtId="0" fontId="52" fillId="0" borderId="0" xfId="2" applyFont="1" applyAlignment="1" applyProtection="1">
      <alignment vertical="center"/>
    </xf>
    <xf numFmtId="0" fontId="53" fillId="0" borderId="0" xfId="2" applyFont="1" applyAlignment="1" applyProtection="1">
      <alignment horizontal="right" vertical="center"/>
    </xf>
    <xf numFmtId="0" fontId="67" fillId="0" borderId="0" xfId="2" applyFont="1" applyAlignment="1" applyProtection="1">
      <alignment horizontal="center" vertical="center"/>
    </xf>
    <xf numFmtId="0" fontId="54" fillId="3" borderId="0" xfId="2" applyFont="1" applyFill="1" applyAlignment="1" applyProtection="1">
      <alignment vertical="center"/>
    </xf>
    <xf numFmtId="0" fontId="54" fillId="0" borderId="0" xfId="2" applyFont="1" applyAlignment="1" applyProtection="1">
      <alignment vertical="center"/>
    </xf>
    <xf numFmtId="0" fontId="68" fillId="0" borderId="0" xfId="2" applyFont="1" applyAlignment="1" applyProtection="1">
      <alignment horizontal="center" vertical="center"/>
    </xf>
    <xf numFmtId="0" fontId="37" fillId="0" borderId="0" xfId="2" applyFont="1" applyAlignment="1" applyProtection="1">
      <alignment horizontal="center" vertical="center"/>
    </xf>
    <xf numFmtId="0" fontId="39" fillId="0" borderId="0" xfId="2" applyFont="1" applyBorder="1" applyAlignment="1" applyProtection="1">
      <alignment horizontal="center" vertical="center"/>
    </xf>
    <xf numFmtId="0" fontId="52" fillId="0" borderId="12" xfId="2" applyFont="1" applyBorder="1" applyAlignment="1" applyProtection="1">
      <alignment horizontal="center" vertical="center"/>
    </xf>
    <xf numFmtId="0" fontId="34" fillId="0" borderId="12" xfId="2" applyFont="1" applyBorder="1" applyAlignment="1" applyProtection="1">
      <alignment horizontal="center" vertical="center"/>
    </xf>
    <xf numFmtId="0" fontId="52" fillId="0" borderId="111" xfId="2" applyFont="1" applyBorder="1" applyAlignment="1" applyProtection="1">
      <alignment horizontal="center" vertical="center"/>
    </xf>
    <xf numFmtId="1" fontId="35" fillId="0" borderId="12" xfId="2" applyNumberFormat="1" applyFont="1" applyBorder="1" applyAlignment="1" applyProtection="1">
      <alignment horizontal="center" vertical="center"/>
    </xf>
    <xf numFmtId="169" fontId="41" fillId="0" borderId="76" xfId="2" applyNumberFormat="1" applyFont="1" applyBorder="1" applyAlignment="1" applyProtection="1">
      <alignment horizontal="right" vertical="center"/>
    </xf>
    <xf numFmtId="0" fontId="60" fillId="3" borderId="0" xfId="2" applyFont="1" applyFill="1" applyAlignment="1" applyProtection="1">
      <alignment horizontal="center" vertical="center"/>
    </xf>
    <xf numFmtId="0" fontId="41" fillId="0" borderId="0" xfId="2" applyFont="1" applyAlignment="1" applyProtection="1">
      <alignment vertical="center"/>
    </xf>
    <xf numFmtId="169" fontId="41" fillId="0" borderId="77" xfId="2" applyNumberFormat="1" applyFont="1" applyBorder="1" applyAlignment="1" applyProtection="1">
      <alignment horizontal="right" vertical="center"/>
    </xf>
    <xf numFmtId="1" fontId="35" fillId="0" borderId="12" xfId="2" applyNumberFormat="1" applyFont="1" applyFill="1" applyBorder="1" applyAlignment="1" applyProtection="1">
      <alignment horizontal="center" vertical="center"/>
    </xf>
    <xf numFmtId="1" fontId="35" fillId="0" borderId="74" xfId="2" applyNumberFormat="1" applyFont="1" applyBorder="1" applyAlignment="1" applyProtection="1">
      <alignment horizontal="center" vertical="center"/>
    </xf>
    <xf numFmtId="0" fontId="41" fillId="0" borderId="74" xfId="2" applyFont="1" applyBorder="1" applyAlignment="1" applyProtection="1">
      <alignment vertical="center"/>
    </xf>
    <xf numFmtId="0" fontId="41" fillId="0" borderId="74" xfId="2" applyFont="1" applyBorder="1" applyAlignment="1" applyProtection="1">
      <alignment horizontal="center" vertical="center"/>
    </xf>
    <xf numFmtId="0" fontId="41" fillId="0" borderId="74" xfId="2" applyFont="1" applyBorder="1" applyAlignment="1" applyProtection="1">
      <alignment horizontal="right" vertical="center"/>
    </xf>
    <xf numFmtId="169" fontId="41" fillId="0" borderId="75" xfId="2" applyNumberFormat="1" applyFont="1" applyBorder="1" applyAlignment="1" applyProtection="1">
      <alignment horizontal="right" vertical="center"/>
    </xf>
    <xf numFmtId="1" fontId="35" fillId="0" borderId="75" xfId="2" applyNumberFormat="1" applyFont="1" applyBorder="1" applyAlignment="1" applyProtection="1">
      <alignment horizontal="center" vertical="center"/>
    </xf>
    <xf numFmtId="0" fontId="41" fillId="0" borderId="75" xfId="2" applyFont="1" applyBorder="1" applyAlignment="1" applyProtection="1">
      <alignment vertical="center"/>
    </xf>
    <xf numFmtId="0" fontId="41" fillId="0" borderId="75" xfId="2" applyFont="1" applyBorder="1" applyAlignment="1" applyProtection="1">
      <alignment horizontal="center" vertical="center"/>
    </xf>
    <xf numFmtId="0" fontId="41" fillId="0" borderId="75" xfId="2" applyFont="1" applyBorder="1" applyAlignment="1" applyProtection="1">
      <alignment horizontal="right" vertical="center"/>
    </xf>
    <xf numFmtId="1" fontId="35" fillId="0" borderId="75" xfId="2" applyNumberFormat="1" applyFont="1" applyFill="1" applyBorder="1" applyAlignment="1" applyProtection="1">
      <alignment horizontal="center" vertical="center"/>
    </xf>
    <xf numFmtId="0" fontId="41" fillId="0" borderId="0" xfId="2" applyFont="1" applyAlignment="1" applyProtection="1">
      <alignment horizontal="center" vertical="center"/>
    </xf>
    <xf numFmtId="0" fontId="35" fillId="0" borderId="0" xfId="2" applyFont="1" applyAlignment="1" applyProtection="1">
      <alignment horizontal="right" vertical="center"/>
    </xf>
    <xf numFmtId="0" fontId="47" fillId="0" borderId="47" xfId="7" applyFont="1" applyBorder="1" applyAlignment="1" applyProtection="1">
      <alignment horizontal="center"/>
      <protection locked="0"/>
    </xf>
    <xf numFmtId="0" fontId="57" fillId="0" borderId="0" xfId="7" applyFont="1" applyAlignment="1" applyProtection="1">
      <alignment horizontal="centerContinuous"/>
    </xf>
    <xf numFmtId="0" fontId="57" fillId="0" borderId="0" xfId="7" applyFont="1" applyAlignment="1" applyProtection="1">
      <alignment horizontal="center"/>
    </xf>
    <xf numFmtId="0" fontId="44" fillId="0" borderId="0" xfId="7" applyFont="1" applyAlignment="1" applyProtection="1">
      <alignment horizontal="center"/>
    </xf>
    <xf numFmtId="0" fontId="57" fillId="0" borderId="15" xfId="0" applyFont="1" applyFill="1" applyBorder="1" applyAlignment="1" applyProtection="1">
      <alignment horizontal="center" vertical="center"/>
    </xf>
    <xf numFmtId="0" fontId="57" fillId="0" borderId="0" xfId="7" applyFont="1" applyAlignment="1" applyProtection="1">
      <alignment horizontal="left"/>
    </xf>
    <xf numFmtId="0" fontId="44" fillId="0" borderId="0" xfId="7" applyFont="1" applyAlignment="1" applyProtection="1">
      <alignment horizontal="centerContinuous"/>
    </xf>
    <xf numFmtId="0" fontId="57" fillId="0" borderId="2" xfId="7" applyFont="1" applyBorder="1" applyAlignment="1" applyProtection="1">
      <alignment horizontal="left"/>
    </xf>
    <xf numFmtId="0" fontId="44" fillId="0" borderId="0" xfId="7" applyFont="1" applyAlignment="1" applyProtection="1">
      <alignment horizontal="left"/>
    </xf>
    <xf numFmtId="0" fontId="57" fillId="0" borderId="38" xfId="7" applyFont="1" applyBorder="1" applyAlignment="1" applyProtection="1">
      <alignment horizontal="centerContinuous"/>
    </xf>
    <xf numFmtId="0" fontId="30" fillId="0" borderId="0" xfId="7" applyFont="1" applyAlignment="1" applyProtection="1">
      <alignment horizontal="left"/>
    </xf>
    <xf numFmtId="0" fontId="7" fillId="0" borderId="0" xfId="7" applyFont="1" applyBorder="1" applyAlignment="1" applyProtection="1">
      <alignment horizontal="center"/>
    </xf>
    <xf numFmtId="0" fontId="7" fillId="0" borderId="0" xfId="7" applyFont="1" applyBorder="1" applyAlignment="1" applyProtection="1">
      <alignment horizontal="left"/>
    </xf>
    <xf numFmtId="0" fontId="30" fillId="0" borderId="0" xfId="7" applyFont="1" applyAlignment="1" applyProtection="1">
      <alignment horizontal="centerContinuous"/>
    </xf>
    <xf numFmtId="0" fontId="30" fillId="0" borderId="0" xfId="7" applyFont="1" applyBorder="1" applyAlignment="1" applyProtection="1">
      <alignment horizontal="left"/>
    </xf>
    <xf numFmtId="0" fontId="7" fillId="0" borderId="0" xfId="7" applyFont="1" applyBorder="1" applyAlignment="1" applyProtection="1">
      <alignment horizontal="centerContinuous"/>
    </xf>
    <xf numFmtId="0" fontId="7" fillId="0" borderId="38" xfId="7" applyFont="1" applyBorder="1" applyAlignment="1" applyProtection="1">
      <alignment horizontal="right"/>
    </xf>
    <xf numFmtId="0" fontId="30" fillId="0" borderId="0" xfId="7" applyFont="1" applyBorder="1" applyAlignment="1" applyProtection="1">
      <alignment horizontal="centerContinuous"/>
    </xf>
    <xf numFmtId="0" fontId="30" fillId="0" borderId="0" xfId="7" applyFont="1" applyAlignment="1" applyProtection="1">
      <alignment horizontal="center"/>
    </xf>
    <xf numFmtId="0" fontId="30" fillId="0" borderId="57" xfId="7" applyFont="1" applyBorder="1" applyAlignment="1" applyProtection="1">
      <alignment horizontal="centerContinuous"/>
    </xf>
    <xf numFmtId="0" fontId="30" fillId="0" borderId="2" xfId="7" applyFont="1" applyBorder="1" applyAlignment="1" applyProtection="1">
      <alignment horizontal="left"/>
    </xf>
    <xf numFmtId="0" fontId="30" fillId="0" borderId="38" xfId="7" applyFont="1" applyBorder="1" applyAlignment="1" applyProtection="1">
      <alignment horizontal="centerContinuous"/>
    </xf>
    <xf numFmtId="0" fontId="7" fillId="0" borderId="2" xfId="7" applyFont="1" applyBorder="1" applyAlignment="1" applyProtection="1">
      <alignment horizontal="centerContinuous"/>
    </xf>
    <xf numFmtId="0" fontId="30" fillId="0" borderId="6" xfId="7" applyFont="1" applyBorder="1" applyAlignment="1" applyProtection="1">
      <alignment horizontal="centerContinuous"/>
    </xf>
    <xf numFmtId="0" fontId="30" fillId="0" borderId="15" xfId="7" applyFont="1" applyBorder="1" applyAlignment="1" applyProtection="1">
      <alignment horizontal="centerContinuous"/>
    </xf>
    <xf numFmtId="0" fontId="79" fillId="0" borderId="0" xfId="0" applyFont="1" applyAlignment="1" applyProtection="1">
      <alignment vertical="center"/>
      <protection hidden="1"/>
    </xf>
    <xf numFmtId="0" fontId="37" fillId="0" borderId="0" xfId="1" applyFont="1" applyAlignment="1" applyProtection="1">
      <alignment vertical="center"/>
      <protection hidden="1"/>
    </xf>
    <xf numFmtId="0" fontId="33" fillId="0" borderId="4" xfId="1" applyFont="1" applyBorder="1" applyAlignment="1" applyProtection="1">
      <alignment horizontal="right" vertical="center"/>
    </xf>
    <xf numFmtId="0" fontId="33" fillId="0" borderId="111" xfId="1" applyFont="1" applyBorder="1" applyAlignment="1" applyProtection="1">
      <alignment horizontal="left" vertical="center"/>
    </xf>
    <xf numFmtId="0" fontId="67" fillId="0" borderId="0" xfId="0" applyFont="1" applyBorder="1" applyAlignment="1" applyProtection="1">
      <alignment horizontal="center" vertical="center"/>
      <protection hidden="1"/>
    </xf>
    <xf numFmtId="0" fontId="80" fillId="0" borderId="12" xfId="0" applyFont="1" applyFill="1" applyBorder="1" applyAlignment="1" applyProtection="1">
      <alignment vertical="center"/>
      <protection locked="0" hidden="1"/>
    </xf>
    <xf numFmtId="0" fontId="80" fillId="0" borderId="12" xfId="0" applyFont="1" applyFill="1" applyBorder="1" applyAlignment="1" applyProtection="1">
      <alignment horizontal="center" vertical="center"/>
      <protection locked="0" hidden="1"/>
    </xf>
    <xf numFmtId="0" fontId="80" fillId="0" borderId="12" xfId="0" applyFont="1" applyFill="1" applyBorder="1" applyAlignment="1" applyProtection="1">
      <alignment horizontal="center"/>
      <protection locked="0"/>
    </xf>
    <xf numFmtId="0" fontId="67" fillId="0" borderId="0" xfId="0" applyFont="1" applyBorder="1" applyAlignment="1" applyProtection="1">
      <alignment horizontal="left" vertical="center"/>
      <protection hidden="1"/>
    </xf>
    <xf numFmtId="0" fontId="79" fillId="0" borderId="0" xfId="0" applyFont="1" applyBorder="1" applyAlignment="1" applyProtection="1">
      <alignment horizontal="center" vertical="center"/>
      <protection hidden="1"/>
    </xf>
    <xf numFmtId="0" fontId="67" fillId="0" borderId="0" xfId="0" applyFont="1" applyBorder="1" applyAlignment="1" applyProtection="1">
      <alignment vertical="center"/>
      <protection hidden="1"/>
    </xf>
    <xf numFmtId="0" fontId="79" fillId="0" borderId="0" xfId="0" applyFont="1" applyBorder="1" applyAlignment="1" applyProtection="1">
      <alignment vertical="center"/>
      <protection hidden="1"/>
    </xf>
    <xf numFmtId="0" fontId="67" fillId="0" borderId="0" xfId="0" quotePrefix="1" applyFont="1" applyBorder="1" applyAlignment="1" applyProtection="1">
      <alignment horizontal="left" vertical="center"/>
      <protection hidden="1"/>
    </xf>
    <xf numFmtId="0" fontId="79" fillId="0" borderId="0" xfId="0" applyFont="1" applyBorder="1" applyAlignment="1" applyProtection="1">
      <alignment horizontal="left" vertical="center"/>
      <protection hidden="1"/>
    </xf>
    <xf numFmtId="167" fontId="67" fillId="0" borderId="0" xfId="0" applyNumberFormat="1" applyFont="1" applyBorder="1" applyAlignment="1" applyProtection="1">
      <alignment horizontal="center" vertical="center"/>
      <protection hidden="1"/>
    </xf>
    <xf numFmtId="0" fontId="67" fillId="0" borderId="0" xfId="0" applyFont="1" applyBorder="1" applyAlignment="1" applyProtection="1">
      <alignment horizontal="right" vertical="center"/>
      <protection hidden="1"/>
    </xf>
    <xf numFmtId="0" fontId="67" fillId="0" borderId="0" xfId="0" applyFont="1" applyAlignment="1" applyProtection="1">
      <alignment vertical="center"/>
      <protection hidden="1"/>
    </xf>
    <xf numFmtId="0" fontId="81" fillId="0" borderId="0" xfId="0" applyFont="1" applyBorder="1" applyAlignment="1" applyProtection="1">
      <alignment vertical="center"/>
      <protection hidden="1"/>
    </xf>
    <xf numFmtId="0" fontId="67" fillId="0" borderId="0" xfId="0" applyFont="1" applyAlignment="1" applyProtection="1">
      <alignment horizontal="right" vertical="center"/>
    </xf>
    <xf numFmtId="0" fontId="82" fillId="0" borderId="0" xfId="4" applyFont="1" applyAlignment="1" applyProtection="1">
      <alignment horizontal="right" vertical="center"/>
      <protection hidden="1"/>
    </xf>
    <xf numFmtId="0" fontId="79" fillId="0" borderId="78" xfId="0" applyFont="1" applyBorder="1" applyAlignment="1" applyProtection="1">
      <alignment vertical="center"/>
      <protection hidden="1"/>
    </xf>
    <xf numFmtId="0" fontId="83" fillId="0" borderId="0" xfId="0" applyFont="1" applyBorder="1" applyAlignment="1" applyProtection="1">
      <alignment horizontal="center" vertical="center"/>
      <protection hidden="1"/>
    </xf>
    <xf numFmtId="0" fontId="85" fillId="0" borderId="0" xfId="0" applyFont="1" applyAlignment="1" applyProtection="1">
      <alignment vertical="center"/>
      <protection hidden="1"/>
    </xf>
    <xf numFmtId="0" fontId="41" fillId="0" borderId="12" xfId="2" applyFont="1" applyFill="1" applyBorder="1" applyAlignment="1" applyProtection="1">
      <alignment horizontal="center" vertical="center"/>
      <protection locked="0"/>
    </xf>
    <xf numFmtId="0" fontId="80" fillId="0" borderId="0" xfId="0" applyFont="1" applyAlignment="1" applyProtection="1">
      <alignment horizontal="center"/>
      <protection locked="0"/>
    </xf>
    <xf numFmtId="0" fontId="80" fillId="0" borderId="12" xfId="0" applyFont="1" applyFill="1" applyBorder="1" applyAlignment="1" applyProtection="1">
      <alignment vertical="center"/>
      <protection hidden="1"/>
    </xf>
    <xf numFmtId="0" fontId="80" fillId="0" borderId="12" xfId="0" applyFont="1" applyFill="1" applyBorder="1" applyAlignment="1" applyProtection="1">
      <alignment horizontal="center" vertical="center"/>
      <protection hidden="1"/>
    </xf>
    <xf numFmtId="0" fontId="34" fillId="3" borderId="87" xfId="0" applyFont="1" applyFill="1" applyBorder="1" applyAlignment="1" applyProtection="1">
      <alignment horizontal="center"/>
    </xf>
    <xf numFmtId="0" fontId="34" fillId="3" borderId="112" xfId="0" applyFont="1" applyFill="1" applyBorder="1" applyAlignment="1" applyProtection="1">
      <alignment horizontal="center"/>
    </xf>
    <xf numFmtId="0" fontId="34" fillId="3" borderId="83" xfId="0" applyFont="1" applyFill="1" applyBorder="1" applyAlignment="1" applyProtection="1">
      <alignment horizontal="center"/>
    </xf>
    <xf numFmtId="0" fontId="34" fillId="3" borderId="113" xfId="0" applyFont="1" applyFill="1" applyBorder="1" applyAlignment="1" applyProtection="1">
      <alignment horizontal="center"/>
    </xf>
    <xf numFmtId="0" fontId="34" fillId="3" borderId="114" xfId="0" applyFont="1" applyFill="1" applyBorder="1" applyAlignment="1" applyProtection="1">
      <alignment horizontal="center"/>
    </xf>
    <xf numFmtId="0" fontId="34" fillId="3" borderId="16" xfId="0" applyFont="1" applyFill="1" applyBorder="1" applyAlignment="1" applyProtection="1">
      <alignment horizontal="center"/>
    </xf>
    <xf numFmtId="0" fontId="33" fillId="0" borderId="7" xfId="0" applyFont="1" applyBorder="1" applyAlignment="1" applyProtection="1">
      <alignment horizontal="center"/>
    </xf>
    <xf numFmtId="0" fontId="33" fillId="0" borderId="115" xfId="0" applyFont="1" applyBorder="1" applyAlignment="1" applyProtection="1">
      <alignment horizontal="center"/>
    </xf>
    <xf numFmtId="0" fontId="47" fillId="5" borderId="18" xfId="0" applyFont="1" applyFill="1" applyBorder="1" applyAlignment="1" applyProtection="1">
      <alignment horizontal="center"/>
      <protection locked="0"/>
    </xf>
    <xf numFmtId="0" fontId="47" fillId="5" borderId="17" xfId="0" quotePrefix="1" applyFont="1" applyFill="1" applyBorder="1" applyAlignment="1" applyProtection="1">
      <alignment horizontal="center"/>
      <protection locked="0"/>
    </xf>
    <xf numFmtId="0" fontId="47" fillId="5" borderId="0" xfId="0" applyFont="1" applyFill="1" applyBorder="1" applyAlignment="1" applyProtection="1">
      <alignment horizontal="center"/>
      <protection locked="0"/>
    </xf>
    <xf numFmtId="167" fontId="47" fillId="5" borderId="40" xfId="0" applyNumberFormat="1" applyFont="1" applyFill="1" applyBorder="1" applyAlignment="1" applyProtection="1">
      <alignment horizontal="center"/>
      <protection locked="0"/>
    </xf>
    <xf numFmtId="0" fontId="34" fillId="0" borderId="24" xfId="0" applyFont="1" applyBorder="1" applyAlignment="1" applyProtection="1">
      <alignment horizontal="center"/>
    </xf>
    <xf numFmtId="0" fontId="34" fillId="0" borderId="114" xfId="0" applyFont="1" applyBorder="1" applyAlignment="1" applyProtection="1">
      <alignment horizontal="center"/>
    </xf>
    <xf numFmtId="0" fontId="47" fillId="5" borderId="88" xfId="0" applyFont="1" applyFill="1" applyBorder="1" applyAlignment="1" applyProtection="1">
      <alignment horizontal="center"/>
      <protection locked="0"/>
    </xf>
    <xf numFmtId="0" fontId="47" fillId="5" borderId="116" xfId="0" applyFont="1" applyFill="1" applyBorder="1" applyAlignment="1" applyProtection="1">
      <alignment horizontal="center"/>
      <protection locked="0"/>
    </xf>
    <xf numFmtId="167" fontId="39" fillId="0" borderId="31" xfId="2" applyNumberFormat="1" applyFont="1" applyBorder="1" applyAlignment="1" applyProtection="1">
      <alignment horizontal="center" vertical="center"/>
    </xf>
    <xf numFmtId="0" fontId="66" fillId="0" borderId="0" xfId="2" applyFont="1" applyAlignment="1" applyProtection="1">
      <alignment horizontal="center" vertical="center"/>
    </xf>
    <xf numFmtId="0" fontId="67" fillId="0" borderId="0" xfId="2" applyFont="1" applyAlignment="1" applyProtection="1">
      <alignment horizontal="center" vertical="center"/>
    </xf>
    <xf numFmtId="0" fontId="68" fillId="0" borderId="0" xfId="2" applyFont="1" applyAlignment="1" applyProtection="1">
      <alignment horizontal="center" vertical="center"/>
    </xf>
    <xf numFmtId="0" fontId="37" fillId="0" borderId="0" xfId="2" applyFont="1" applyAlignment="1" applyProtection="1">
      <alignment horizontal="center" vertical="center"/>
    </xf>
    <xf numFmtId="165" fontId="39" fillId="0" borderId="103" xfId="0" applyNumberFormat="1" applyFont="1" applyBorder="1" applyAlignment="1" applyProtection="1">
      <alignment horizontal="center" vertical="center"/>
      <protection locked="0"/>
    </xf>
    <xf numFmtId="165" fontId="39" fillId="0" borderId="12" xfId="0" applyNumberFormat="1" applyFont="1" applyBorder="1" applyAlignment="1" applyProtection="1">
      <alignment horizontal="center" vertical="center"/>
      <protection locked="0"/>
    </xf>
    <xf numFmtId="165" fontId="39" fillId="0" borderId="104" xfId="0" applyNumberFormat="1" applyFont="1" applyBorder="1" applyAlignment="1" applyProtection="1">
      <alignment horizontal="center" vertical="center"/>
      <protection locked="0"/>
    </xf>
    <xf numFmtId="0" fontId="40" fillId="0" borderId="103" xfId="0" applyFont="1" applyBorder="1" applyAlignment="1" applyProtection="1">
      <alignment horizontal="center" vertical="center"/>
    </xf>
    <xf numFmtId="0" fontId="40" fillId="0" borderId="12" xfId="0" applyFont="1" applyBorder="1" applyAlignment="1" applyProtection="1">
      <alignment horizontal="center" vertical="center"/>
    </xf>
    <xf numFmtId="0" fontId="40" fillId="0" borderId="104" xfId="0" applyFont="1" applyBorder="1" applyAlignment="1" applyProtection="1">
      <alignment horizontal="center" vertical="center"/>
    </xf>
    <xf numFmtId="0" fontId="37" fillId="10" borderId="102" xfId="0" applyFont="1" applyFill="1" applyBorder="1" applyAlignment="1" applyProtection="1">
      <alignment horizontal="center" vertical="center"/>
    </xf>
    <xf numFmtId="0" fontId="37" fillId="10" borderId="118" xfId="0" applyFont="1" applyFill="1" applyBorder="1" applyAlignment="1" applyProtection="1">
      <alignment horizontal="center" vertical="center"/>
    </xf>
    <xf numFmtId="0" fontId="37" fillId="10" borderId="103" xfId="0" applyFont="1" applyFill="1" applyBorder="1" applyAlignment="1" applyProtection="1">
      <alignment horizontal="center" vertical="center"/>
    </xf>
    <xf numFmtId="0" fontId="37" fillId="10" borderId="104" xfId="0" applyFont="1" applyFill="1" applyBorder="1" applyAlignment="1" applyProtection="1">
      <alignment horizontal="center" vertical="center"/>
    </xf>
    <xf numFmtId="0" fontId="40" fillId="0" borderId="102" xfId="0" applyFont="1" applyBorder="1" applyAlignment="1" applyProtection="1">
      <alignment horizontal="center" vertical="center"/>
    </xf>
    <xf numFmtId="0" fontId="40" fillId="0" borderId="86" xfId="0" applyFont="1" applyBorder="1" applyAlignment="1" applyProtection="1">
      <alignment horizontal="center" vertical="center"/>
    </xf>
    <xf numFmtId="0" fontId="40" fillId="0" borderId="118" xfId="0" applyFont="1" applyBorder="1" applyAlignment="1" applyProtection="1">
      <alignment horizontal="center" vertical="center"/>
    </xf>
    <xf numFmtId="0" fontId="40" fillId="0" borderId="105" xfId="0" applyFont="1" applyBorder="1" applyAlignment="1" applyProtection="1">
      <alignment horizontal="center" vertical="center"/>
    </xf>
    <xf numFmtId="0" fontId="40" fillId="0" borderId="106" xfId="0" applyFont="1" applyBorder="1" applyAlignment="1" applyProtection="1">
      <alignment horizontal="center" vertical="center"/>
    </xf>
    <xf numFmtId="0" fontId="40" fillId="0" borderId="107" xfId="0" applyFont="1" applyBorder="1" applyAlignment="1" applyProtection="1">
      <alignment horizontal="center" vertical="center"/>
    </xf>
    <xf numFmtId="0" fontId="40" fillId="0" borderId="67" xfId="0" applyFont="1" applyBorder="1" applyAlignment="1" applyProtection="1">
      <alignment horizontal="center" vertical="center"/>
    </xf>
    <xf numFmtId="0" fontId="40" fillId="0" borderId="11" xfId="0" applyFont="1" applyBorder="1" applyAlignment="1" applyProtection="1">
      <alignment horizontal="center" vertical="center"/>
    </xf>
    <xf numFmtId="0" fontId="40" fillId="0" borderId="121" xfId="0" applyFont="1" applyBorder="1" applyAlignment="1" applyProtection="1">
      <alignment horizontal="center" vertical="center"/>
    </xf>
    <xf numFmtId="0" fontId="40" fillId="0" borderId="122" xfId="0" applyFont="1" applyBorder="1" applyAlignment="1" applyProtection="1">
      <alignment horizontal="center" vertical="center"/>
    </xf>
    <xf numFmtId="0" fontId="40" fillId="0" borderId="82" xfId="0" applyFont="1" applyBorder="1" applyAlignment="1" applyProtection="1">
      <alignment horizontal="center" vertical="center"/>
    </xf>
    <xf numFmtId="0" fontId="40" fillId="0" borderId="83" xfId="0" applyFont="1" applyBorder="1" applyAlignment="1" applyProtection="1">
      <alignment horizontal="center" vertical="center"/>
    </xf>
    <xf numFmtId="0" fontId="40" fillId="0" borderId="89" xfId="0" applyFont="1" applyBorder="1" applyAlignment="1" applyProtection="1">
      <alignment horizontal="center" vertical="center"/>
    </xf>
    <xf numFmtId="0" fontId="40" fillId="0" borderId="123" xfId="0" applyFont="1" applyBorder="1" applyAlignment="1" applyProtection="1">
      <alignment horizontal="center" vertical="center"/>
    </xf>
    <xf numFmtId="0" fontId="40" fillId="0" borderId="0" xfId="4" applyFont="1" applyBorder="1" applyAlignment="1" applyProtection="1">
      <alignment horizontal="center" vertical="center"/>
    </xf>
    <xf numFmtId="165" fontId="40" fillId="0" borderId="105" xfId="0" applyNumberFormat="1" applyFont="1" applyBorder="1" applyAlignment="1" applyProtection="1">
      <alignment horizontal="center" vertical="center"/>
    </xf>
    <xf numFmtId="165" fontId="40" fillId="0" borderId="106" xfId="0" applyNumberFormat="1" applyFont="1" applyBorder="1" applyAlignment="1" applyProtection="1">
      <alignment horizontal="center" vertical="center"/>
    </xf>
    <xf numFmtId="165" fontId="40" fillId="0" borderId="107" xfId="0" applyNumberFormat="1" applyFont="1" applyBorder="1" applyAlignment="1" applyProtection="1">
      <alignment horizontal="center" vertical="center"/>
    </xf>
    <xf numFmtId="0" fontId="40" fillId="0" borderId="103" xfId="8" applyFont="1" applyBorder="1" applyAlignment="1" applyProtection="1">
      <alignment horizontal="center" vertical="center"/>
    </xf>
    <xf numFmtId="0" fontId="40" fillId="0" borderId="12" xfId="8" applyFont="1" applyBorder="1" applyAlignment="1" applyProtection="1">
      <alignment horizontal="center" vertical="center"/>
    </xf>
    <xf numFmtId="0" fontId="40" fillId="0" borderId="104" xfId="8" applyFont="1" applyBorder="1" applyAlignment="1" applyProtection="1">
      <alignment horizontal="center" vertical="center"/>
    </xf>
    <xf numFmtId="0" fontId="40" fillId="0" borderId="85" xfId="0" applyFont="1" applyBorder="1" applyAlignment="1" applyProtection="1">
      <alignment horizontal="center" vertical="center"/>
    </xf>
    <xf numFmtId="0" fontId="37" fillId="0" borderId="121" xfId="0" applyFont="1" applyBorder="1" applyAlignment="1" applyProtection="1">
      <alignment horizontal="center" vertical="center"/>
    </xf>
    <xf numFmtId="0" fontId="37" fillId="0" borderId="122" xfId="0" applyFont="1" applyBorder="1" applyAlignment="1" applyProtection="1">
      <alignment horizontal="center" vertical="center"/>
    </xf>
    <xf numFmtId="0" fontId="37" fillId="0" borderId="123" xfId="0" applyFont="1" applyBorder="1" applyAlignment="1" applyProtection="1">
      <alignment horizontal="center" vertical="center"/>
    </xf>
    <xf numFmtId="0" fontId="37" fillId="0" borderId="45" xfId="0" applyFont="1" applyBorder="1" applyAlignment="1" applyProtection="1">
      <alignment horizontal="center" vertical="center"/>
    </xf>
    <xf numFmtId="0" fontId="37" fillId="0" borderId="46" xfId="0" applyFont="1" applyBorder="1" applyAlignment="1" applyProtection="1">
      <alignment horizontal="center" vertical="center"/>
    </xf>
    <xf numFmtId="0" fontId="37" fillId="0" borderId="117" xfId="0" applyFont="1" applyBorder="1" applyAlignment="1" applyProtection="1">
      <alignment horizontal="center" vertical="center"/>
    </xf>
    <xf numFmtId="0" fontId="37" fillId="5" borderId="45" xfId="0" applyFont="1" applyFill="1" applyBorder="1" applyAlignment="1" applyProtection="1">
      <alignment horizontal="center" vertical="center"/>
    </xf>
    <xf numFmtId="0" fontId="37" fillId="5" borderId="117" xfId="0" applyFont="1" applyFill="1" applyBorder="1" applyAlignment="1" applyProtection="1">
      <alignment horizontal="center" vertical="center"/>
    </xf>
    <xf numFmtId="0" fontId="40" fillId="0" borderId="105" xfId="0" applyNumberFormat="1" applyFont="1" applyBorder="1" applyAlignment="1" applyProtection="1">
      <alignment horizontal="center" vertical="center"/>
    </xf>
    <xf numFmtId="0" fontId="40" fillId="0" borderId="107" xfId="0" applyNumberFormat="1" applyFont="1" applyBorder="1" applyAlignment="1" applyProtection="1">
      <alignment horizontal="center" vertical="center"/>
    </xf>
    <xf numFmtId="0" fontId="40" fillId="0" borderId="105" xfId="8" applyFont="1" applyBorder="1" applyAlignment="1" applyProtection="1">
      <alignment horizontal="center" vertical="center"/>
    </xf>
    <xf numFmtId="0" fontId="40" fillId="0" borderId="106" xfId="8" applyFont="1" applyBorder="1" applyAlignment="1" applyProtection="1">
      <alignment horizontal="center" vertical="center"/>
    </xf>
    <xf numFmtId="0" fontId="40" fillId="0" borderId="107" xfId="8" applyFont="1" applyBorder="1" applyAlignment="1" applyProtection="1">
      <alignment horizontal="center" vertical="center"/>
    </xf>
    <xf numFmtId="170" fontId="75" fillId="0" borderId="0" xfId="0" applyNumberFormat="1" applyFont="1" applyBorder="1" applyAlignment="1" applyProtection="1">
      <alignment horizontal="center" vertical="center"/>
    </xf>
    <xf numFmtId="0" fontId="0" fillId="0" borderId="88" xfId="0" applyNumberFormat="1" applyBorder="1" applyAlignment="1" applyProtection="1">
      <alignment horizontal="center" vertical="center"/>
      <protection hidden="1"/>
    </xf>
    <xf numFmtId="0" fontId="0" fillId="0" borderId="89" xfId="0" applyNumberFormat="1" applyBorder="1" applyAlignment="1" applyProtection="1">
      <alignment horizontal="center" vertical="center"/>
      <protection hidden="1"/>
    </xf>
    <xf numFmtId="165" fontId="40" fillId="0" borderId="102" xfId="0" applyNumberFormat="1" applyFont="1" applyBorder="1" applyAlignment="1" applyProtection="1">
      <alignment horizontal="center" vertical="center"/>
    </xf>
    <xf numFmtId="165" fontId="40" fillId="0" borderId="86" xfId="0" applyNumberFormat="1" applyFont="1" applyBorder="1" applyAlignment="1" applyProtection="1">
      <alignment horizontal="center" vertical="center"/>
    </xf>
    <xf numFmtId="165" fontId="40" fillId="0" borderId="118" xfId="0" applyNumberFormat="1" applyFont="1" applyBorder="1" applyAlignment="1" applyProtection="1">
      <alignment horizontal="center" vertical="center"/>
    </xf>
    <xf numFmtId="165" fontId="40" fillId="0" borderId="103" xfId="0" applyNumberFormat="1" applyFont="1" applyBorder="1" applyAlignment="1" applyProtection="1">
      <alignment horizontal="center" vertical="center"/>
    </xf>
    <xf numFmtId="165" fontId="40" fillId="0" borderId="12" xfId="0" applyNumberFormat="1" applyFont="1" applyBorder="1" applyAlignment="1" applyProtection="1">
      <alignment horizontal="center" vertical="center"/>
    </xf>
    <xf numFmtId="165" fontId="40" fillId="0" borderId="104" xfId="0" applyNumberFormat="1" applyFont="1" applyBorder="1" applyAlignment="1" applyProtection="1">
      <alignment horizontal="center" vertical="center"/>
    </xf>
    <xf numFmtId="0" fontId="40" fillId="0" borderId="103" xfId="0" applyNumberFormat="1" applyFont="1" applyBorder="1" applyAlignment="1" applyProtection="1">
      <alignment horizontal="center" vertical="center"/>
    </xf>
    <xf numFmtId="0" fontId="40" fillId="0" borderId="104" xfId="0" applyNumberFormat="1" applyFont="1" applyBorder="1" applyAlignment="1" applyProtection="1">
      <alignment horizontal="center" vertical="center"/>
    </xf>
    <xf numFmtId="0" fontId="40" fillId="0" borderId="102" xfId="8" applyFont="1" applyBorder="1" applyAlignment="1" applyProtection="1">
      <alignment horizontal="center" vertical="center"/>
    </xf>
    <xf numFmtId="0" fontId="40" fillId="0" borderId="86" xfId="8" applyFont="1" applyBorder="1" applyAlignment="1" applyProtection="1">
      <alignment horizontal="center" vertical="center"/>
    </xf>
    <xf numFmtId="0" fontId="40" fillId="0" borderId="118" xfId="8" applyFont="1" applyBorder="1" applyAlignment="1" applyProtection="1">
      <alignment horizontal="center" vertical="center"/>
    </xf>
    <xf numFmtId="0" fontId="69" fillId="0" borderId="105" xfId="0" applyFont="1" applyBorder="1" applyAlignment="1" applyProtection="1">
      <alignment horizontal="center" vertical="center"/>
    </xf>
    <xf numFmtId="0" fontId="69" fillId="0" borderId="107" xfId="0" applyFont="1" applyBorder="1" applyAlignment="1" applyProtection="1">
      <alignment horizontal="center" vertical="center"/>
    </xf>
    <xf numFmtId="165" fontId="39" fillId="0" borderId="102" xfId="0" applyNumberFormat="1" applyFont="1" applyBorder="1" applyAlignment="1" applyProtection="1">
      <alignment horizontal="center" vertical="center"/>
      <protection locked="0"/>
    </xf>
    <xf numFmtId="165" fontId="39" fillId="0" borderId="86" xfId="0" applyNumberFormat="1" applyFont="1" applyBorder="1" applyAlignment="1" applyProtection="1">
      <alignment horizontal="center" vertical="center"/>
      <protection locked="0"/>
    </xf>
    <xf numFmtId="165" fontId="39" fillId="0" borderId="118" xfId="0" applyNumberFormat="1" applyFont="1" applyBorder="1" applyAlignment="1" applyProtection="1">
      <alignment horizontal="center" vertical="center"/>
      <protection locked="0"/>
    </xf>
    <xf numFmtId="165" fontId="39" fillId="0" borderId="105" xfId="0" applyNumberFormat="1" applyFont="1" applyBorder="1" applyAlignment="1" applyProtection="1">
      <alignment horizontal="center" vertical="center"/>
      <protection locked="0"/>
    </xf>
    <xf numFmtId="165" fontId="39" fillId="0" borderId="106" xfId="0" applyNumberFormat="1" applyFont="1" applyBorder="1" applyAlignment="1" applyProtection="1">
      <alignment horizontal="center" vertical="center"/>
      <protection locked="0"/>
    </xf>
    <xf numFmtId="165" fontId="39" fillId="0" borderId="107" xfId="0" applyNumberFormat="1" applyFont="1" applyBorder="1" applyAlignment="1" applyProtection="1">
      <alignment horizontal="center" vertical="center"/>
      <protection locked="0"/>
    </xf>
    <xf numFmtId="0" fontId="69" fillId="0" borderId="103" xfId="0" applyFont="1" applyBorder="1" applyAlignment="1" applyProtection="1">
      <alignment horizontal="center" vertical="center"/>
    </xf>
    <xf numFmtId="0" fontId="69" fillId="0" borderId="104" xfId="0" applyFont="1" applyBorder="1" applyAlignment="1" applyProtection="1">
      <alignment horizontal="center" vertical="center"/>
    </xf>
    <xf numFmtId="0" fontId="69" fillId="0" borderId="102" xfId="0" applyFont="1" applyBorder="1" applyAlignment="1" applyProtection="1">
      <alignment horizontal="center" vertical="center"/>
    </xf>
    <xf numFmtId="0" fontId="69" fillId="0" borderId="118" xfId="0" applyFont="1" applyBorder="1" applyAlignment="1" applyProtection="1">
      <alignment horizontal="center" vertical="center"/>
    </xf>
    <xf numFmtId="0" fontId="37" fillId="10" borderId="105" xfId="0" applyFont="1" applyFill="1" applyBorder="1" applyAlignment="1" applyProtection="1">
      <alignment horizontal="center" vertical="center"/>
    </xf>
    <xf numFmtId="0" fontId="37" fillId="10" borderId="107" xfId="0" applyFont="1" applyFill="1" applyBorder="1" applyAlignment="1" applyProtection="1">
      <alignment horizontal="center" vertical="center"/>
    </xf>
    <xf numFmtId="0" fontId="37" fillId="0" borderId="85" xfId="0" applyFont="1" applyBorder="1" applyAlignment="1" applyProtection="1">
      <alignment horizontal="center" vertical="center"/>
    </xf>
    <xf numFmtId="0" fontId="37" fillId="0" borderId="82" xfId="0" applyFont="1" applyBorder="1" applyAlignment="1" applyProtection="1">
      <alignment horizontal="center" vertical="center"/>
    </xf>
    <xf numFmtId="0" fontId="37" fillId="0" borderId="83" xfId="0" applyFont="1" applyBorder="1" applyAlignment="1" applyProtection="1">
      <alignment horizontal="center" vertical="center"/>
    </xf>
    <xf numFmtId="0" fontId="37" fillId="0" borderId="103" xfId="0" applyFont="1" applyBorder="1" applyAlignment="1" applyProtection="1">
      <alignment horizontal="center" vertical="center"/>
    </xf>
    <xf numFmtId="0" fontId="37" fillId="0" borderId="4" xfId="0" applyFont="1" applyBorder="1" applyAlignment="1" applyProtection="1">
      <alignment horizontal="center" vertical="center"/>
    </xf>
    <xf numFmtId="0" fontId="37" fillId="10" borderId="4" xfId="0" applyFont="1" applyFill="1" applyBorder="1" applyAlignment="1" applyProtection="1">
      <alignment horizontal="center" vertical="center"/>
    </xf>
    <xf numFmtId="0" fontId="37" fillId="10" borderId="125" xfId="0" applyFont="1" applyFill="1" applyBorder="1" applyAlignment="1" applyProtection="1">
      <alignment horizontal="center" vertical="center"/>
    </xf>
    <xf numFmtId="0" fontId="37" fillId="0" borderId="102" xfId="0" applyFont="1" applyBorder="1" applyAlignment="1" applyProtection="1">
      <alignment horizontal="center" vertical="center"/>
    </xf>
    <xf numFmtId="0" fontId="37" fillId="0" borderId="87" xfId="0" applyFont="1" applyBorder="1" applyAlignment="1" applyProtection="1">
      <alignment horizontal="center" vertical="center"/>
    </xf>
    <xf numFmtId="0" fontId="40" fillId="0" borderId="102" xfId="0" applyNumberFormat="1" applyFont="1" applyBorder="1" applyAlignment="1" applyProtection="1">
      <alignment horizontal="center" vertical="center"/>
    </xf>
    <xf numFmtId="0" fontId="40" fillId="0" borderId="118" xfId="0" applyNumberFormat="1" applyFont="1" applyBorder="1" applyAlignment="1" applyProtection="1">
      <alignment horizontal="center" vertical="center"/>
    </xf>
    <xf numFmtId="0" fontId="75" fillId="0" borderId="0" xfId="0" applyFont="1" applyAlignment="1" applyProtection="1">
      <alignment horizontal="left" vertical="center"/>
    </xf>
    <xf numFmtId="0" fontId="37" fillId="0" borderId="33" xfId="0" applyFont="1" applyBorder="1" applyAlignment="1" applyProtection="1">
      <alignment horizontal="center" vertical="center"/>
    </xf>
    <xf numFmtId="0" fontId="37" fillId="0" borderId="31" xfId="0" applyFont="1" applyBorder="1" applyAlignment="1" applyProtection="1">
      <alignment horizontal="center" vertical="center"/>
    </xf>
    <xf numFmtId="0" fontId="37" fillId="0" borderId="105" xfId="0" applyFont="1" applyBorder="1" applyAlignment="1" applyProtection="1">
      <alignment horizontal="center" vertical="center"/>
    </xf>
    <xf numFmtId="0" fontId="37" fillId="0" borderId="125" xfId="0" applyFont="1" applyBorder="1" applyAlignment="1" applyProtection="1">
      <alignment horizontal="center" vertical="center"/>
    </xf>
    <xf numFmtId="0" fontId="37" fillId="10" borderId="87" xfId="0" applyFont="1" applyFill="1" applyBorder="1" applyAlignment="1" applyProtection="1">
      <alignment horizontal="center" vertical="center"/>
    </xf>
    <xf numFmtId="0" fontId="74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74" fillId="0" borderId="0" xfId="0" applyFont="1" applyBorder="1" applyAlignment="1" applyProtection="1">
      <alignment horizontal="center"/>
    </xf>
    <xf numFmtId="0" fontId="75" fillId="0" borderId="0" xfId="0" applyFont="1" applyBorder="1" applyAlignment="1" applyProtection="1">
      <alignment horizontal="center" vertical="center"/>
    </xf>
    <xf numFmtId="0" fontId="75" fillId="0" borderId="0" xfId="4" applyFont="1" applyAlignment="1" applyProtection="1">
      <alignment horizontal="center" vertical="center"/>
    </xf>
    <xf numFmtId="0" fontId="33" fillId="0" borderId="88" xfId="0" applyNumberFormat="1" applyFont="1" applyBorder="1" applyAlignment="1" applyProtection="1">
      <alignment horizontal="center" vertical="center"/>
      <protection hidden="1"/>
    </xf>
    <xf numFmtId="0" fontId="33" fillId="0" borderId="89" xfId="0" applyNumberFormat="1" applyFont="1" applyBorder="1" applyAlignment="1" applyProtection="1">
      <alignment horizontal="center" vertical="center"/>
      <protection hidden="1"/>
    </xf>
    <xf numFmtId="0" fontId="83" fillId="0" borderId="48" xfId="0" applyFont="1" applyBorder="1" applyAlignment="1" applyProtection="1">
      <alignment horizontal="center" vertical="center"/>
      <protection hidden="1"/>
    </xf>
    <xf numFmtId="0" fontId="83" fillId="0" borderId="49" xfId="0" applyFont="1" applyBorder="1" applyAlignment="1" applyProtection="1">
      <alignment horizontal="center" vertical="center"/>
      <protection hidden="1"/>
    </xf>
    <xf numFmtId="0" fontId="83" fillId="0" borderId="50" xfId="0" applyFont="1" applyBorder="1" applyAlignment="1" applyProtection="1">
      <alignment horizontal="center" vertical="center"/>
      <protection hidden="1"/>
    </xf>
    <xf numFmtId="0" fontId="83" fillId="0" borderId="103" xfId="0" applyNumberFormat="1" applyFont="1" applyBorder="1" applyAlignment="1" applyProtection="1">
      <alignment horizontal="center" vertical="center"/>
      <protection hidden="1"/>
    </xf>
    <xf numFmtId="0" fontId="83" fillId="0" borderId="104" xfId="0" applyNumberFormat="1" applyFont="1" applyBorder="1" applyAlignment="1" applyProtection="1">
      <alignment horizontal="center" vertical="center"/>
      <protection hidden="1"/>
    </xf>
    <xf numFmtId="0" fontId="83" fillId="0" borderId="103" xfId="8" applyFont="1" applyBorder="1" applyAlignment="1" applyProtection="1">
      <alignment horizontal="left" vertical="center"/>
      <protection hidden="1"/>
    </xf>
    <xf numFmtId="0" fontId="83" fillId="0" borderId="12" xfId="8" applyFont="1" applyBorder="1" applyAlignment="1" applyProtection="1">
      <alignment horizontal="left" vertical="center"/>
      <protection hidden="1"/>
    </xf>
    <xf numFmtId="0" fontId="83" fillId="0" borderId="104" xfId="8" applyFont="1" applyBorder="1" applyAlignment="1" applyProtection="1">
      <alignment horizontal="left" vertical="center"/>
      <protection hidden="1"/>
    </xf>
    <xf numFmtId="0" fontId="83" fillId="0" borderId="105" xfId="0" applyNumberFormat="1" applyFont="1" applyBorder="1" applyAlignment="1" applyProtection="1">
      <alignment horizontal="center" vertical="center"/>
      <protection hidden="1"/>
    </xf>
    <xf numFmtId="0" fontId="83" fillId="0" borderId="107" xfId="0" applyNumberFormat="1" applyFont="1" applyBorder="1" applyAlignment="1" applyProtection="1">
      <alignment horizontal="center" vertical="center"/>
      <protection hidden="1"/>
    </xf>
    <xf numFmtId="0" fontId="83" fillId="0" borderId="105" xfId="8" applyFont="1" applyBorder="1" applyAlignment="1" applyProtection="1">
      <alignment horizontal="left" vertical="center"/>
      <protection hidden="1"/>
    </xf>
    <xf numFmtId="0" fontId="83" fillId="0" borderId="106" xfId="8" applyFont="1" applyBorder="1" applyAlignment="1" applyProtection="1">
      <alignment horizontal="left" vertical="center"/>
      <protection hidden="1"/>
    </xf>
    <xf numFmtId="0" fontId="83" fillId="0" borderId="107" xfId="8" applyFont="1" applyBorder="1" applyAlignment="1" applyProtection="1">
      <alignment horizontal="left" vertical="center"/>
      <protection hidden="1"/>
    </xf>
    <xf numFmtId="0" fontId="83" fillId="0" borderId="103" xfId="8" applyFont="1" applyBorder="1" applyAlignment="1" applyProtection="1">
      <alignment horizontal="center" vertical="center"/>
      <protection hidden="1"/>
    </xf>
    <xf numFmtId="0" fontId="83" fillId="0" borderId="104" xfId="8" applyFont="1" applyBorder="1" applyAlignment="1" applyProtection="1">
      <alignment horizontal="center" vertical="center"/>
      <protection hidden="1"/>
    </xf>
    <xf numFmtId="0" fontId="83" fillId="10" borderId="103" xfId="0" applyFont="1" applyFill="1" applyBorder="1" applyAlignment="1" applyProtection="1">
      <alignment horizontal="center" vertical="center"/>
      <protection hidden="1"/>
    </xf>
    <xf numFmtId="0" fontId="83" fillId="10" borderId="104" xfId="0" applyFont="1" applyFill="1" applyBorder="1" applyAlignment="1" applyProtection="1">
      <alignment horizontal="center" vertical="center"/>
      <protection hidden="1"/>
    </xf>
    <xf numFmtId="165" fontId="84" fillId="0" borderId="103" xfId="0" applyNumberFormat="1" applyFont="1" applyBorder="1" applyAlignment="1" applyProtection="1">
      <alignment horizontal="center" vertical="center"/>
      <protection hidden="1"/>
    </xf>
    <xf numFmtId="165" fontId="84" fillId="0" borderId="12" xfId="0" applyNumberFormat="1" applyFont="1" applyBorder="1" applyAlignment="1" applyProtection="1">
      <alignment horizontal="center" vertical="center"/>
      <protection hidden="1"/>
    </xf>
    <xf numFmtId="165" fontId="84" fillId="0" borderId="104" xfId="0" applyNumberFormat="1" applyFont="1" applyBorder="1" applyAlignment="1" applyProtection="1">
      <alignment horizontal="center" vertical="center"/>
      <protection hidden="1"/>
    </xf>
    <xf numFmtId="0" fontId="83" fillId="0" borderId="103" xfId="0" applyFont="1" applyBorder="1" applyAlignment="1" applyProtection="1">
      <alignment horizontal="center" vertical="center"/>
      <protection hidden="1"/>
    </xf>
    <xf numFmtId="0" fontId="83" fillId="0" borderId="12" xfId="0" applyFont="1" applyBorder="1" applyAlignment="1" applyProtection="1">
      <alignment horizontal="center" vertical="center"/>
      <protection hidden="1"/>
    </xf>
    <xf numFmtId="0" fontId="83" fillId="0" borderId="104" xfId="0" applyFont="1" applyBorder="1" applyAlignment="1" applyProtection="1">
      <alignment horizontal="center" vertical="center"/>
      <protection hidden="1"/>
    </xf>
    <xf numFmtId="165" fontId="83" fillId="0" borderId="103" xfId="0" applyNumberFormat="1" applyFont="1" applyBorder="1" applyAlignment="1" applyProtection="1">
      <alignment horizontal="center" vertical="center"/>
      <protection hidden="1"/>
    </xf>
    <xf numFmtId="165" fontId="83" fillId="0" borderId="12" xfId="0" applyNumberFormat="1" applyFont="1" applyBorder="1" applyAlignment="1" applyProtection="1">
      <alignment horizontal="center" vertical="center"/>
      <protection hidden="1"/>
    </xf>
    <xf numFmtId="165" fontId="83" fillId="0" borderId="104" xfId="0" applyNumberFormat="1" applyFont="1" applyBorder="1" applyAlignment="1" applyProtection="1">
      <alignment horizontal="center" vertical="center"/>
      <protection hidden="1"/>
    </xf>
    <xf numFmtId="0" fontId="83" fillId="10" borderId="105" xfId="0" applyFont="1" applyFill="1" applyBorder="1" applyAlignment="1" applyProtection="1">
      <alignment horizontal="center" vertical="center"/>
      <protection hidden="1"/>
    </xf>
    <xf numFmtId="0" fontId="83" fillId="10" borderId="107" xfId="0" applyFont="1" applyFill="1" applyBorder="1" applyAlignment="1" applyProtection="1">
      <alignment horizontal="center" vertical="center"/>
      <protection hidden="1"/>
    </xf>
    <xf numFmtId="0" fontId="67" fillId="0" borderId="0" xfId="0" applyFont="1" applyBorder="1" applyAlignment="1" applyProtection="1">
      <alignment horizontal="center" vertical="center"/>
      <protection hidden="1"/>
    </xf>
    <xf numFmtId="0" fontId="67" fillId="0" borderId="0" xfId="0" applyFont="1" applyAlignment="1" applyProtection="1">
      <alignment horizontal="center" vertical="center"/>
      <protection hidden="1"/>
    </xf>
    <xf numFmtId="0" fontId="79" fillId="0" borderId="0" xfId="0" applyFont="1" applyAlignment="1" applyProtection="1">
      <alignment horizontal="center" vertical="center"/>
      <protection hidden="1"/>
    </xf>
    <xf numFmtId="0" fontId="83" fillId="0" borderId="105" xfId="8" applyFont="1" applyBorder="1" applyAlignment="1" applyProtection="1">
      <alignment horizontal="center" vertical="center"/>
      <protection hidden="1"/>
    </xf>
    <xf numFmtId="0" fontId="83" fillId="0" borderId="107" xfId="8" applyFont="1" applyBorder="1" applyAlignment="1" applyProtection="1">
      <alignment horizontal="center" vertical="center"/>
      <protection hidden="1"/>
    </xf>
    <xf numFmtId="165" fontId="83" fillId="0" borderId="105" xfId="0" applyNumberFormat="1" applyFont="1" applyBorder="1" applyAlignment="1" applyProtection="1">
      <alignment horizontal="center" vertical="center"/>
      <protection hidden="1"/>
    </xf>
    <xf numFmtId="165" fontId="83" fillId="0" borderId="106" xfId="0" applyNumberFormat="1" applyFont="1" applyBorder="1" applyAlignment="1" applyProtection="1">
      <alignment horizontal="center" vertical="center"/>
      <protection hidden="1"/>
    </xf>
    <xf numFmtId="165" fontId="83" fillId="0" borderId="107" xfId="0" applyNumberFormat="1" applyFont="1" applyBorder="1" applyAlignment="1" applyProtection="1">
      <alignment horizontal="center" vertical="center"/>
      <protection hidden="1"/>
    </xf>
    <xf numFmtId="0" fontId="83" fillId="0" borderId="128" xfId="0" applyFont="1" applyBorder="1" applyAlignment="1" applyProtection="1">
      <alignment horizontal="center" vertical="center"/>
      <protection hidden="1"/>
    </xf>
    <xf numFmtId="0" fontId="83" fillId="0" borderId="129" xfId="0" applyFont="1" applyBorder="1" applyAlignment="1" applyProtection="1">
      <alignment horizontal="center" vertical="center"/>
      <protection hidden="1"/>
    </xf>
    <xf numFmtId="0" fontId="83" fillId="10" borderId="102" xfId="0" applyFont="1" applyFill="1" applyBorder="1" applyAlignment="1" applyProtection="1">
      <alignment horizontal="center" vertical="center"/>
      <protection hidden="1"/>
    </xf>
    <xf numFmtId="0" fontId="83" fillId="10" borderId="118" xfId="0" applyFont="1" applyFill="1" applyBorder="1" applyAlignment="1" applyProtection="1">
      <alignment horizontal="center" vertical="center"/>
      <protection hidden="1"/>
    </xf>
    <xf numFmtId="167" fontId="67" fillId="0" borderId="0" xfId="0" applyNumberFormat="1" applyFont="1" applyBorder="1" applyAlignment="1" applyProtection="1">
      <alignment horizontal="center" vertical="center"/>
      <protection hidden="1"/>
    </xf>
    <xf numFmtId="0" fontId="83" fillId="0" borderId="102" xfId="8" applyFont="1" applyBorder="1" applyAlignment="1" applyProtection="1">
      <alignment horizontal="left" vertical="center"/>
      <protection hidden="1"/>
    </xf>
    <xf numFmtId="0" fontId="83" fillId="0" borderId="86" xfId="8" applyFont="1" applyBorder="1" applyAlignment="1" applyProtection="1">
      <alignment horizontal="left" vertical="center"/>
      <protection hidden="1"/>
    </xf>
    <xf numFmtId="0" fontId="83" fillId="0" borderId="118" xfId="8" applyFont="1" applyBorder="1" applyAlignment="1" applyProtection="1">
      <alignment horizontal="left" vertical="center"/>
      <protection hidden="1"/>
    </xf>
    <xf numFmtId="165" fontId="84" fillId="0" borderId="102" xfId="0" applyNumberFormat="1" applyFont="1" applyBorder="1" applyAlignment="1" applyProtection="1">
      <alignment horizontal="center" vertical="center"/>
      <protection hidden="1"/>
    </xf>
    <xf numFmtId="165" fontId="84" fillId="0" borderId="86" xfId="0" applyNumberFormat="1" applyFont="1" applyBorder="1" applyAlignment="1" applyProtection="1">
      <alignment horizontal="center" vertical="center"/>
      <protection hidden="1"/>
    </xf>
    <xf numFmtId="165" fontId="84" fillId="0" borderId="118" xfId="0" applyNumberFormat="1" applyFont="1" applyBorder="1" applyAlignment="1" applyProtection="1">
      <alignment horizontal="center" vertical="center"/>
      <protection hidden="1"/>
    </xf>
    <xf numFmtId="0" fontId="83" fillId="0" borderId="102" xfId="0" applyFont="1" applyBorder="1" applyAlignment="1" applyProtection="1">
      <alignment horizontal="center" vertical="center"/>
      <protection hidden="1"/>
    </xf>
    <xf numFmtId="0" fontId="83" fillId="0" borderId="86" xfId="0" applyFont="1" applyBorder="1" applyAlignment="1" applyProtection="1">
      <alignment horizontal="center" vertical="center"/>
      <protection hidden="1"/>
    </xf>
    <xf numFmtId="0" fontId="83" fillId="0" borderId="118" xfId="0" applyFont="1" applyBorder="1" applyAlignment="1" applyProtection="1">
      <alignment horizontal="center" vertical="center"/>
      <protection hidden="1"/>
    </xf>
    <xf numFmtId="165" fontId="83" fillId="0" borderId="102" xfId="0" applyNumberFormat="1" applyFont="1" applyBorder="1" applyAlignment="1" applyProtection="1">
      <alignment horizontal="center" vertical="center"/>
      <protection hidden="1"/>
    </xf>
    <xf numFmtId="165" fontId="83" fillId="0" borderId="86" xfId="0" applyNumberFormat="1" applyFont="1" applyBorder="1" applyAlignment="1" applyProtection="1">
      <alignment horizontal="center" vertical="center"/>
      <protection hidden="1"/>
    </xf>
    <xf numFmtId="165" fontId="83" fillId="0" borderId="118" xfId="0" applyNumberFormat="1" applyFont="1" applyBorder="1" applyAlignment="1" applyProtection="1">
      <alignment horizontal="center" vertical="center"/>
      <protection hidden="1"/>
    </xf>
    <xf numFmtId="0" fontId="83" fillId="0" borderId="102" xfId="0" applyNumberFormat="1" applyFont="1" applyBorder="1" applyAlignment="1" applyProtection="1">
      <alignment horizontal="center" vertical="center"/>
      <protection hidden="1"/>
    </xf>
    <xf numFmtId="0" fontId="83" fillId="0" borderId="118" xfId="0" applyNumberFormat="1" applyFont="1" applyBorder="1" applyAlignment="1" applyProtection="1">
      <alignment horizontal="center" vertical="center"/>
      <protection hidden="1"/>
    </xf>
    <xf numFmtId="0" fontId="83" fillId="0" borderId="102" xfId="8" applyFont="1" applyBorder="1" applyAlignment="1" applyProtection="1">
      <alignment horizontal="center" vertical="center"/>
      <protection hidden="1"/>
    </xf>
    <xf numFmtId="0" fontId="83" fillId="0" borderId="118" xfId="8" applyFont="1" applyBorder="1" applyAlignment="1" applyProtection="1">
      <alignment horizontal="center" vertical="center"/>
      <protection hidden="1"/>
    </xf>
    <xf numFmtId="0" fontId="83" fillId="0" borderId="105" xfId="0" applyFont="1" applyBorder="1" applyAlignment="1" applyProtection="1">
      <alignment horizontal="center" vertical="center"/>
      <protection hidden="1"/>
    </xf>
    <xf numFmtId="0" fontId="83" fillId="0" borderId="106" xfId="0" applyFont="1" applyBorder="1" applyAlignment="1" applyProtection="1">
      <alignment horizontal="center" vertical="center"/>
      <protection hidden="1"/>
    </xf>
    <xf numFmtId="0" fontId="83" fillId="0" borderId="107" xfId="0" applyFont="1" applyBorder="1" applyAlignment="1" applyProtection="1">
      <alignment horizontal="center" vertical="center"/>
      <protection hidden="1"/>
    </xf>
    <xf numFmtId="165" fontId="84" fillId="0" borderId="105" xfId="0" applyNumberFormat="1" applyFont="1" applyBorder="1" applyAlignment="1" applyProtection="1">
      <alignment horizontal="center" vertical="center"/>
      <protection hidden="1"/>
    </xf>
    <xf numFmtId="165" fontId="84" fillId="0" borderId="106" xfId="0" applyNumberFormat="1" applyFont="1" applyBorder="1" applyAlignment="1" applyProtection="1">
      <alignment horizontal="center" vertical="center"/>
      <protection hidden="1"/>
    </xf>
    <xf numFmtId="165" fontId="84" fillId="0" borderId="107" xfId="0" applyNumberFormat="1" applyFont="1" applyBorder="1" applyAlignment="1" applyProtection="1">
      <alignment horizontal="center" vertical="center"/>
      <protection hidden="1"/>
    </xf>
    <xf numFmtId="20" fontId="11" fillId="0" borderId="59" xfId="7" applyNumberFormat="1" applyFont="1" applyBorder="1" applyAlignment="1" applyProtection="1">
      <alignment horizontal="center"/>
    </xf>
    <xf numFmtId="0" fontId="0" fillId="0" borderId="0" xfId="0" applyBorder="1" applyProtection="1"/>
    <xf numFmtId="20" fontId="11" fillId="0" borderId="0" xfId="7" applyNumberFormat="1" applyFont="1" applyBorder="1" applyAlignment="1" applyProtection="1">
      <alignment horizontal="center"/>
    </xf>
    <xf numFmtId="0" fontId="11" fillId="0" borderId="0" xfId="7" applyFont="1" applyBorder="1" applyAlignment="1" applyProtection="1">
      <alignment horizontal="center"/>
    </xf>
    <xf numFmtId="0" fontId="33" fillId="0" borderId="4" xfId="7" applyFont="1" applyBorder="1" applyAlignment="1" applyProtection="1">
      <alignment horizontal="left"/>
    </xf>
    <xf numFmtId="0" fontId="33" fillId="0" borderId="111" xfId="7" applyFont="1" applyBorder="1" applyAlignment="1" applyProtection="1">
      <alignment horizontal="left"/>
    </xf>
    <xf numFmtId="0" fontId="25" fillId="0" borderId="70" xfId="7" applyFont="1" applyBorder="1" applyAlignment="1" applyProtection="1">
      <alignment horizontal="center"/>
    </xf>
    <xf numFmtId="0" fontId="25" fillId="0" borderId="71" xfId="7" applyFont="1" applyBorder="1" applyAlignment="1" applyProtection="1">
      <alignment horizontal="center"/>
    </xf>
    <xf numFmtId="0" fontId="25" fillId="0" borderId="72" xfId="7" applyFont="1" applyBorder="1" applyAlignment="1" applyProtection="1">
      <alignment horizontal="center"/>
    </xf>
    <xf numFmtId="0" fontId="9" fillId="0" borderId="70" xfId="7" applyFont="1" applyBorder="1" applyAlignment="1" applyProtection="1">
      <alignment horizontal="center"/>
    </xf>
    <xf numFmtId="0" fontId="9" fillId="0" borderId="71" xfId="7" applyFont="1" applyBorder="1" applyAlignment="1" applyProtection="1">
      <alignment horizontal="center"/>
    </xf>
    <xf numFmtId="0" fontId="9" fillId="0" borderId="72" xfId="7" applyFont="1" applyBorder="1" applyAlignment="1" applyProtection="1">
      <alignment horizontal="center"/>
    </xf>
    <xf numFmtId="0" fontId="11" fillId="0" borderId="58" xfId="7" applyFont="1" applyBorder="1" applyAlignment="1" applyProtection="1">
      <alignment horizontal="center"/>
    </xf>
    <xf numFmtId="0" fontId="32" fillId="0" borderId="0" xfId="7" quotePrefix="1" applyFont="1" applyBorder="1" applyAlignment="1" applyProtection="1">
      <alignment horizontal="center" vertical="center"/>
    </xf>
    <xf numFmtId="0" fontId="35" fillId="0" borderId="0" xfId="7" quotePrefix="1" applyFont="1" applyBorder="1" applyAlignment="1" applyProtection="1">
      <alignment horizontal="center" vertical="center"/>
    </xf>
    <xf numFmtId="15" fontId="35" fillId="0" borderId="0" xfId="7" applyNumberFormat="1" applyFont="1" applyBorder="1" applyAlignment="1" applyProtection="1">
      <alignment horizontal="center"/>
    </xf>
    <xf numFmtId="0" fontId="35" fillId="0" borderId="0" xfId="7" applyFont="1" applyBorder="1" applyAlignment="1" applyProtection="1">
      <alignment horizontal="center"/>
    </xf>
    <xf numFmtId="0" fontId="56" fillId="0" borderId="0" xfId="7" applyFont="1" applyAlignment="1" applyProtection="1">
      <alignment horizontal="center"/>
    </xf>
    <xf numFmtId="20" fontId="41" fillId="0" borderId="0" xfId="7" applyNumberFormat="1" applyFont="1" applyAlignment="1" applyProtection="1">
      <alignment horizontal="center"/>
    </xf>
    <xf numFmtId="0" fontId="41" fillId="0" borderId="0" xfId="7" applyFont="1" applyAlignment="1" applyProtection="1">
      <alignment horizontal="center"/>
    </xf>
    <xf numFmtId="20" fontId="41" fillId="0" borderId="0" xfId="7" applyNumberFormat="1" applyFont="1" applyBorder="1" applyAlignment="1" applyProtection="1">
      <alignment horizontal="center"/>
    </xf>
    <xf numFmtId="0" fontId="41" fillId="0" borderId="0" xfId="7" applyFont="1" applyBorder="1" applyAlignment="1" applyProtection="1">
      <alignment horizontal="center"/>
    </xf>
    <xf numFmtId="0" fontId="74" fillId="0" borderId="12" xfId="0" applyFont="1" applyBorder="1" applyAlignment="1" applyProtection="1">
      <alignment horizontal="center" vertical="center"/>
      <protection hidden="1"/>
    </xf>
    <xf numFmtId="0" fontId="78" fillId="0" borderId="4" xfId="0" applyFont="1" applyBorder="1" applyAlignment="1" applyProtection="1">
      <alignment horizontal="center" vertical="center"/>
      <protection hidden="1"/>
    </xf>
    <xf numFmtId="0" fontId="78" fillId="0" borderId="11" xfId="0" applyFont="1" applyBorder="1" applyAlignment="1" applyProtection="1">
      <alignment horizontal="center" vertical="center"/>
      <protection hidden="1"/>
    </xf>
    <xf numFmtId="0" fontId="78" fillId="0" borderId="111" xfId="0" applyFont="1" applyBorder="1" applyAlignment="1" applyProtection="1">
      <alignment horizontal="center" vertical="center"/>
      <protection hidden="1"/>
    </xf>
    <xf numFmtId="0" fontId="37" fillId="0" borderId="0" xfId="1" applyFont="1" applyAlignment="1" applyProtection="1">
      <alignment horizontal="center" vertical="center"/>
      <protection hidden="1"/>
    </xf>
    <xf numFmtId="0" fontId="34" fillId="4" borderId="2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3" fillId="0" borderId="2" xfId="6" applyFont="1" applyBorder="1" applyAlignment="1">
      <alignment horizontal="center" vertical="center"/>
    </xf>
    <xf numFmtId="0" fontId="33" fillId="0" borderId="0" xfId="6" applyFont="1" applyBorder="1" applyAlignment="1">
      <alignment horizontal="center" vertical="center"/>
    </xf>
    <xf numFmtId="0" fontId="62" fillId="0" borderId="4" xfId="6" applyFont="1" applyBorder="1" applyAlignment="1">
      <alignment horizontal="center" vertical="center"/>
    </xf>
    <xf numFmtId="0" fontId="62" fillId="0" borderId="11" xfId="6" applyFont="1" applyBorder="1" applyAlignment="1">
      <alignment horizontal="center" vertical="center"/>
    </xf>
    <xf numFmtId="0" fontId="62" fillId="0" borderId="111" xfId="6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4" xfId="6" applyFont="1" applyFill="1" applyBorder="1" applyAlignment="1">
      <alignment horizontal="center" vertical="center"/>
    </xf>
    <xf numFmtId="0" fontId="35" fillId="4" borderId="11" xfId="6" applyFont="1" applyFill="1" applyBorder="1" applyAlignment="1">
      <alignment horizontal="center" vertical="center"/>
    </xf>
    <xf numFmtId="0" fontId="35" fillId="4" borderId="111" xfId="6" applyFont="1" applyFill="1" applyBorder="1" applyAlignment="1">
      <alignment horizontal="center" vertical="center"/>
    </xf>
    <xf numFmtId="0" fontId="35" fillId="9" borderId="4" xfId="6" applyFont="1" applyFill="1" applyBorder="1" applyAlignment="1">
      <alignment horizontal="center" vertical="center"/>
    </xf>
    <xf numFmtId="0" fontId="35" fillId="9" borderId="11" xfId="6" applyFont="1" applyFill="1" applyBorder="1" applyAlignment="1">
      <alignment horizontal="center" vertical="center"/>
    </xf>
    <xf numFmtId="0" fontId="35" fillId="9" borderId="111" xfId="6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20" fontId="35" fillId="0" borderId="0" xfId="0" applyNumberFormat="1" applyFont="1" applyBorder="1" applyAlignment="1">
      <alignment horizontal="left" vertical="center"/>
    </xf>
    <xf numFmtId="0" fontId="34" fillId="9" borderId="2" xfId="0" applyFont="1" applyFill="1" applyBorder="1" applyAlignment="1">
      <alignment horizontal="center" vertical="center"/>
    </xf>
    <xf numFmtId="0" fontId="34" fillId="9" borderId="0" xfId="0" applyFont="1" applyFill="1" applyBorder="1" applyAlignment="1">
      <alignment horizontal="center" vertical="center"/>
    </xf>
  </cellXfs>
  <cellStyles count="9">
    <cellStyle name="Normal" xfId="0" builtinId="0"/>
    <cellStyle name="Normal_CADETS" xfId="1"/>
    <cellStyle name="Normal_Engagés B" xfId="2"/>
    <cellStyle name="Normal_POULE B" xfId="3"/>
    <cellStyle name="Normal_POULES34" xfId="4"/>
    <cellStyle name="Normal_SD24j-5m" xfId="5"/>
    <cellStyle name="Normal_SM" xfId="6"/>
    <cellStyle name="Normal_TABKO32" xfId="7"/>
    <cellStyle name="Normal_Tableau B" xfId="8"/>
  </cellStyles>
  <dxfs count="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348615</xdr:colOff>
      <xdr:row>0</xdr:row>
      <xdr:rowOff>0</xdr:rowOff>
    </xdr:from>
    <xdr:to>
      <xdr:col>11</xdr:col>
      <xdr:colOff>386715</xdr:colOff>
      <xdr:row>1</xdr:row>
      <xdr:rowOff>76200</xdr:rowOff>
    </xdr:to>
    <xdr:sp macro="" textlink="">
      <xdr:nvSpPr>
        <xdr:cNvPr id="2049" name="DownRibbonSharp"/>
        <xdr:cNvSpPr>
          <a:spLocks noEditPoints="1" noChangeArrowheads="1"/>
        </xdr:cNvSpPr>
      </xdr:nvSpPr>
      <xdr:spPr bwMode="auto">
        <a:xfrm>
          <a:off x="4191000" y="0"/>
          <a:ext cx="3990975" cy="247650"/>
        </a:xfrm>
        <a:custGeom>
          <a:avLst/>
          <a:gdLst>
            <a:gd name="G0" fmla="+- 0 0 0"/>
            <a:gd name="G1" fmla="+- 5400 0 0"/>
            <a:gd name="G2" fmla="+- 5400 2700 0"/>
            <a:gd name="G3" fmla="+- 21600 0 G2"/>
            <a:gd name="G4" fmla="+- 21600 0 G1"/>
            <a:gd name="G5" fmla="+- 21600 0 2700"/>
            <a:gd name="G6" fmla="*/ G5 1 2"/>
            <a:gd name="G7" fmla="+- 2700 0 0"/>
            <a:gd name="T0" fmla="*/ 10800 w 21600"/>
            <a:gd name="T1" fmla="*/ 2700 h 21600"/>
            <a:gd name="T2" fmla="*/ 2700 w 21600"/>
            <a:gd name="T3" fmla="*/ 9450 h 21600"/>
            <a:gd name="T4" fmla="*/ 10800 w 21600"/>
            <a:gd name="T5" fmla="*/ 21600 h 21600"/>
            <a:gd name="T6" fmla="*/ 18900 w 21600"/>
            <a:gd name="T7" fmla="*/ 945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G1 w 21600"/>
            <a:gd name="T13" fmla="*/ G7 h 21600"/>
            <a:gd name="T14" fmla="*/ G4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0" y="0"/>
              </a:moveTo>
              <a:lnTo>
                <a:pt x="8100" y="0"/>
              </a:lnTo>
              <a:lnTo>
                <a:pt x="8100" y="2700"/>
              </a:lnTo>
              <a:lnTo>
                <a:pt x="13500" y="2700"/>
              </a:lnTo>
              <a:lnTo>
                <a:pt x="13500" y="0"/>
              </a:lnTo>
              <a:lnTo>
                <a:pt x="21600" y="0"/>
              </a:lnTo>
              <a:lnTo>
                <a:pt x="18900" y="9450"/>
              </a:lnTo>
              <a:lnTo>
                <a:pt x="21600" y="18900"/>
              </a:lnTo>
              <a:lnTo>
                <a:pt x="16200" y="18900"/>
              </a:lnTo>
              <a:lnTo>
                <a:pt x="16200" y="21600"/>
              </a:lnTo>
              <a:lnTo>
                <a:pt x="5400" y="21600"/>
              </a:lnTo>
              <a:lnTo>
                <a:pt x="5400" y="18900"/>
              </a:lnTo>
              <a:lnTo>
                <a:pt x="0" y="18900"/>
              </a:lnTo>
              <a:lnTo>
                <a:pt x="2700" y="9450"/>
              </a:lnTo>
              <a:close/>
            </a:path>
            <a:path w="21600" h="21600" fill="none" extrusionOk="0">
              <a:moveTo>
                <a:pt x="8100" y="2700"/>
              </a:moveTo>
              <a:lnTo>
                <a:pt x="5400" y="2700"/>
              </a:lnTo>
              <a:lnTo>
                <a:pt x="5400" y="18900"/>
              </a:lnTo>
            </a:path>
            <a:path w="21600" h="21600" fill="none" extrusionOk="0">
              <a:moveTo>
                <a:pt x="5400" y="2700"/>
              </a:moveTo>
              <a:lnTo>
                <a:pt x="8100" y="0"/>
              </a:lnTo>
            </a:path>
            <a:path w="21600" h="21600" fill="none" extrusionOk="0">
              <a:moveTo>
                <a:pt x="13500" y="2700"/>
              </a:moveTo>
              <a:lnTo>
                <a:pt x="16200" y="2700"/>
              </a:lnTo>
              <a:lnTo>
                <a:pt x="16200" y="18900"/>
              </a:lnTo>
            </a:path>
            <a:path w="21600" h="21600" fill="none" extrusionOk="0">
              <a:moveTo>
                <a:pt x="16200" y="2700"/>
              </a:moveTo>
              <a:lnTo>
                <a:pt x="13500" y="0"/>
              </a:lnTo>
            </a:path>
          </a:pathLst>
        </a:cu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FF"/>
              </a:solidFill>
              <a:latin typeface="MS Sans Serif"/>
            </a:rPr>
            <a:t>Utilisation du classeur</a:t>
          </a:r>
        </a:p>
      </xdr:txBody>
    </xdr:sp>
    <xdr:clientData/>
  </xdr:twoCellAnchor>
  <xdr:twoCellAnchor>
    <xdr:from>
      <xdr:col>10</xdr:col>
      <xdr:colOff>99060</xdr:colOff>
      <xdr:row>2</xdr:row>
      <xdr:rowOff>68580</xdr:rowOff>
    </xdr:from>
    <xdr:to>
      <xdr:col>10</xdr:col>
      <xdr:colOff>746760</xdr:colOff>
      <xdr:row>2</xdr:row>
      <xdr:rowOff>68580</xdr:rowOff>
    </xdr:to>
    <xdr:sp macro="" textlink="">
      <xdr:nvSpPr>
        <xdr:cNvPr id="2185" name="Line 3"/>
        <xdr:cNvSpPr>
          <a:spLocks noChangeShapeType="1"/>
        </xdr:cNvSpPr>
      </xdr:nvSpPr>
      <xdr:spPr bwMode="auto">
        <a:xfrm>
          <a:off x="7383780" y="42672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160020</xdr:colOff>
      <xdr:row>3</xdr:row>
      <xdr:rowOff>99060</xdr:rowOff>
    </xdr:from>
    <xdr:to>
      <xdr:col>10</xdr:col>
      <xdr:colOff>678180</xdr:colOff>
      <xdr:row>3</xdr:row>
      <xdr:rowOff>99060</xdr:rowOff>
    </xdr:to>
    <xdr:sp macro="" textlink="">
      <xdr:nvSpPr>
        <xdr:cNvPr id="2186" name="Line 6"/>
        <xdr:cNvSpPr>
          <a:spLocks noChangeShapeType="1"/>
        </xdr:cNvSpPr>
      </xdr:nvSpPr>
      <xdr:spPr bwMode="auto">
        <a:xfrm>
          <a:off x="7444740" y="632460"/>
          <a:ext cx="518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2</xdr:row>
          <xdr:rowOff>0</xdr:rowOff>
        </xdr:from>
        <xdr:to>
          <xdr:col>12</xdr:col>
          <xdr:colOff>9525</xdr:colOff>
          <xdr:row>3</xdr:row>
          <xdr:rowOff>9525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MS Sans Serif"/>
                </a:rPr>
                <a:t>Valide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3</xdr:row>
          <xdr:rowOff>66675</xdr:rowOff>
        </xdr:from>
        <xdr:to>
          <xdr:col>12</xdr:col>
          <xdr:colOff>0</xdr:colOff>
          <xdr:row>4</xdr:row>
          <xdr:rowOff>57150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MS Sans Serif"/>
                </a:rPr>
                <a:t>Tableau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23</xdr:row>
      <xdr:rowOff>241299</xdr:rowOff>
    </xdr:from>
    <xdr:to>
      <xdr:col>26</xdr:col>
      <xdr:colOff>395832</xdr:colOff>
      <xdr:row>28</xdr:row>
      <xdr:rowOff>130840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7467599"/>
          <a:ext cx="1881732" cy="1591341"/>
        </a:xfrm>
        <a:prstGeom prst="rect">
          <a:avLst/>
        </a:prstGeom>
      </xdr:spPr>
    </xdr:pic>
    <xdr:clientData/>
  </xdr:twoCellAnchor>
  <xdr:twoCellAnchor editAs="oneCell">
    <xdr:from>
      <xdr:col>21</xdr:col>
      <xdr:colOff>520700</xdr:colOff>
      <xdr:row>52</xdr:row>
      <xdr:rowOff>241300</xdr:rowOff>
    </xdr:from>
    <xdr:to>
      <xdr:col>26</xdr:col>
      <xdr:colOff>332332</xdr:colOff>
      <xdr:row>57</xdr:row>
      <xdr:rowOff>54641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7300" y="16878300"/>
          <a:ext cx="1881732" cy="1591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29941</xdr:colOff>
      <xdr:row>23</xdr:row>
      <xdr:rowOff>210804</xdr:rowOff>
    </xdr:from>
    <xdr:to>
      <xdr:col>26</xdr:col>
      <xdr:colOff>368300</xdr:colOff>
      <xdr:row>27</xdr:row>
      <xdr:rowOff>266700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6941" y="7437104"/>
          <a:ext cx="1748059" cy="1478296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52</xdr:row>
      <xdr:rowOff>266700</xdr:rowOff>
    </xdr:from>
    <xdr:to>
      <xdr:col>26</xdr:col>
      <xdr:colOff>325659</xdr:colOff>
      <xdr:row>57</xdr:row>
      <xdr:rowOff>43196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4300" y="16903700"/>
          <a:ext cx="1748059" cy="1478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23</xdr:row>
      <xdr:rowOff>267562</xdr:rowOff>
    </xdr:from>
    <xdr:to>
      <xdr:col>26</xdr:col>
      <xdr:colOff>330200</xdr:colOff>
      <xdr:row>28</xdr:row>
      <xdr:rowOff>101600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7493862"/>
          <a:ext cx="1816100" cy="1535838"/>
        </a:xfrm>
        <a:prstGeom prst="rect">
          <a:avLst/>
        </a:prstGeom>
      </xdr:spPr>
    </xdr:pic>
    <xdr:clientData/>
  </xdr:twoCellAnchor>
  <xdr:twoCellAnchor editAs="oneCell">
    <xdr:from>
      <xdr:col>22</xdr:col>
      <xdr:colOff>63500</xdr:colOff>
      <xdr:row>52</xdr:row>
      <xdr:rowOff>165100</xdr:rowOff>
    </xdr:from>
    <xdr:to>
      <xdr:col>26</xdr:col>
      <xdr:colOff>355600</xdr:colOff>
      <xdr:row>56</xdr:row>
      <xdr:rowOff>270918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200" y="16802100"/>
          <a:ext cx="1816100" cy="15358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23</xdr:row>
      <xdr:rowOff>282222</xdr:rowOff>
    </xdr:from>
    <xdr:to>
      <xdr:col>26</xdr:col>
      <xdr:colOff>381000</xdr:colOff>
      <xdr:row>28</xdr:row>
      <xdr:rowOff>127000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7508522"/>
          <a:ext cx="1828800" cy="154657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52</xdr:row>
      <xdr:rowOff>190500</xdr:rowOff>
    </xdr:from>
    <xdr:to>
      <xdr:col>26</xdr:col>
      <xdr:colOff>304800</xdr:colOff>
      <xdr:row>57</xdr:row>
      <xdr:rowOff>35278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16827500"/>
          <a:ext cx="1828800" cy="15465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203200</xdr:colOff>
      <xdr:row>69</xdr:row>
      <xdr:rowOff>114300</xdr:rowOff>
    </xdr:from>
    <xdr:to>
      <xdr:col>20</xdr:col>
      <xdr:colOff>8899</xdr:colOff>
      <xdr:row>74</xdr:row>
      <xdr:rowOff>76200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7640300"/>
          <a:ext cx="1456699" cy="12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209550</xdr:colOff>
          <xdr:row>5</xdr:row>
          <xdr:rowOff>0</xdr:rowOff>
        </xdr:from>
        <xdr:to>
          <xdr:col>25</xdr:col>
          <xdr:colOff>47625</xdr:colOff>
          <xdr:row>6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Barrages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47625</xdr:colOff>
          <xdr:row>4</xdr:row>
          <xdr:rowOff>228600</xdr:rowOff>
        </xdr:from>
        <xdr:to>
          <xdr:col>19</xdr:col>
          <xdr:colOff>276225</xdr:colOff>
          <xdr:row>6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1/8 F -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4</xdr:row>
          <xdr:rowOff>200025</xdr:rowOff>
        </xdr:from>
        <xdr:to>
          <xdr:col>14</xdr:col>
          <xdr:colOff>247650</xdr:colOff>
          <xdr:row>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1/4F -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133350</xdr:colOff>
          <xdr:row>4</xdr:row>
          <xdr:rowOff>190500</xdr:rowOff>
        </xdr:from>
        <xdr:to>
          <xdr:col>36</xdr:col>
          <xdr:colOff>28575</xdr:colOff>
          <xdr:row>5</xdr:row>
          <xdr:rowOff>228600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1/4F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4</xdr:row>
          <xdr:rowOff>228600</xdr:rowOff>
        </xdr:from>
        <xdr:to>
          <xdr:col>9</xdr:col>
          <xdr:colOff>238125</xdr:colOff>
          <xdr:row>6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1/2F -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142875</xdr:colOff>
          <xdr:row>4</xdr:row>
          <xdr:rowOff>180975</xdr:rowOff>
        </xdr:from>
        <xdr:to>
          <xdr:col>41</xdr:col>
          <xdr:colOff>247650</xdr:colOff>
          <xdr:row>5</xdr:row>
          <xdr:rowOff>228600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1/2F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</xdr:row>
          <xdr:rowOff>228600</xdr:rowOff>
        </xdr:from>
        <xdr:to>
          <xdr:col>5</xdr:col>
          <xdr:colOff>85725</xdr:colOff>
          <xdr:row>6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Finale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104775</xdr:colOff>
          <xdr:row>4</xdr:row>
          <xdr:rowOff>190500</xdr:rowOff>
        </xdr:from>
        <xdr:to>
          <xdr:col>47</xdr:col>
          <xdr:colOff>114300</xdr:colOff>
          <xdr:row>5</xdr:row>
          <xdr:rowOff>228600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FINALE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209550</xdr:colOff>
          <xdr:row>4</xdr:row>
          <xdr:rowOff>180975</xdr:rowOff>
        </xdr:from>
        <xdr:to>
          <xdr:col>32</xdr:col>
          <xdr:colOff>9525</xdr:colOff>
          <xdr:row>6</xdr:row>
          <xdr:rowOff>9525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1/8 F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40</xdr:col>
      <xdr:colOff>203200</xdr:colOff>
      <xdr:row>45</xdr:row>
      <xdr:rowOff>203200</xdr:rowOff>
    </xdr:from>
    <xdr:to>
      <xdr:col>47</xdr:col>
      <xdr:colOff>115097</xdr:colOff>
      <xdr:row>52</xdr:row>
      <xdr:rowOff>116840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9920" y="11257280"/>
          <a:ext cx="1832137" cy="1549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754380</xdr:colOff>
      <xdr:row>38</xdr:row>
      <xdr:rowOff>16322</xdr:rowOff>
    </xdr:from>
    <xdr:to>
      <xdr:col>6</xdr:col>
      <xdr:colOff>1955429</xdr:colOff>
      <xdr:row>43</xdr:row>
      <xdr:rowOff>114300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9510842"/>
          <a:ext cx="1206129" cy="1019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92D050"/>
  </sheetPr>
  <dimension ref="A1:M62"/>
  <sheetViews>
    <sheetView workbookViewId="0">
      <selection activeCell="B4" sqref="B4:C4"/>
    </sheetView>
  </sheetViews>
  <sheetFormatPr baseColWidth="10" defaultColWidth="11.5703125" defaultRowHeight="12.75" x14ac:dyDescent="0.2"/>
  <cols>
    <col min="1" max="1" width="12.5703125" style="350" customWidth="1"/>
    <col min="2" max="2" width="11.7109375" style="350" customWidth="1"/>
    <col min="3" max="3" width="11.7109375" style="652" customWidth="1"/>
    <col min="4" max="4" width="10.42578125" style="350" customWidth="1"/>
    <col min="5" max="7" width="11.5703125" style="350"/>
    <col min="8" max="8" width="2.140625" style="350" customWidth="1"/>
    <col min="9" max="16384" width="11.5703125" style="350"/>
  </cols>
  <sheetData>
    <row r="1" spans="1:13" ht="13.5" thickTop="1" x14ac:dyDescent="0.2">
      <c r="A1" s="788" t="s">
        <v>299</v>
      </c>
      <c r="B1" s="789"/>
      <c r="C1" s="789"/>
      <c r="D1" s="619" t="s">
        <v>172</v>
      </c>
      <c r="E1" s="605" t="s">
        <v>300</v>
      </c>
      <c r="G1" s="620" t="s">
        <v>184</v>
      </c>
      <c r="H1" s="620" t="s">
        <v>21</v>
      </c>
    </row>
    <row r="2" spans="1:13" x14ac:dyDescent="0.2">
      <c r="A2" s="621" t="s">
        <v>173</v>
      </c>
      <c r="B2" s="790" t="s">
        <v>307</v>
      </c>
      <c r="C2" s="790"/>
      <c r="D2" s="622" t="s">
        <v>164</v>
      </c>
      <c r="E2" s="606">
        <v>1</v>
      </c>
    </row>
    <row r="3" spans="1:13" x14ac:dyDescent="0.2">
      <c r="A3" s="621" t="s">
        <v>174</v>
      </c>
      <c r="B3" s="790" t="s">
        <v>308</v>
      </c>
      <c r="C3" s="790"/>
      <c r="D3" s="623"/>
      <c r="E3" s="624"/>
      <c r="H3" s="625">
        <v>1</v>
      </c>
      <c r="I3" s="626" t="s">
        <v>272</v>
      </c>
    </row>
    <row r="4" spans="1:13" ht="13.5" thickBot="1" x14ac:dyDescent="0.25">
      <c r="A4" s="627" t="s">
        <v>175</v>
      </c>
      <c r="B4" s="791">
        <v>43421</v>
      </c>
      <c r="C4" s="791"/>
      <c r="D4" s="628" t="s">
        <v>183</v>
      </c>
      <c r="E4" s="607"/>
      <c r="F4" s="620" t="str">
        <f>IF(E4="Dimanche",G1,H1)</f>
        <v>Sa</v>
      </c>
      <c r="H4" s="625">
        <v>2</v>
      </c>
      <c r="I4" s="626" t="s">
        <v>273</v>
      </c>
    </row>
    <row r="5" spans="1:13" s="629" customFormat="1" ht="14.25" thickTop="1" thickBot="1" x14ac:dyDescent="0.25">
      <c r="B5" s="630"/>
      <c r="C5" s="630"/>
      <c r="D5" s="631"/>
      <c r="E5" s="632"/>
      <c r="F5" s="633"/>
      <c r="H5" s="625">
        <v>3</v>
      </c>
      <c r="I5" s="626" t="s">
        <v>274</v>
      </c>
    </row>
    <row r="6" spans="1:13" ht="13.5" thickTop="1" x14ac:dyDescent="0.2">
      <c r="A6" s="634" t="s">
        <v>176</v>
      </c>
      <c r="B6" s="635" t="s">
        <v>177</v>
      </c>
      <c r="C6" s="636" t="s">
        <v>178</v>
      </c>
      <c r="H6" s="625"/>
      <c r="I6" s="626" t="s">
        <v>275</v>
      </c>
      <c r="L6" s="637"/>
      <c r="M6" s="629"/>
    </row>
    <row r="7" spans="1:13" ht="13.5" thickBot="1" x14ac:dyDescent="0.25">
      <c r="A7" s="638" t="s">
        <v>33</v>
      </c>
      <c r="B7" s="609"/>
      <c r="C7" s="610"/>
      <c r="H7" s="625">
        <v>4</v>
      </c>
      <c r="I7" s="626" t="s">
        <v>276</v>
      </c>
      <c r="L7" s="625"/>
    </row>
    <row r="8" spans="1:13" ht="13.5" thickTop="1" x14ac:dyDescent="0.2">
      <c r="A8" s="638" t="s">
        <v>35</v>
      </c>
      <c r="B8" s="639">
        <f>$B$7</f>
        <v>0</v>
      </c>
      <c r="C8" s="610"/>
      <c r="E8" s="640" t="s">
        <v>271</v>
      </c>
      <c r="H8" s="625">
        <v>5</v>
      </c>
      <c r="I8" s="626" t="s">
        <v>277</v>
      </c>
    </row>
    <row r="9" spans="1:13" x14ac:dyDescent="0.2">
      <c r="A9" s="638" t="s">
        <v>36</v>
      </c>
      <c r="B9" s="639">
        <f t="shared" ref="B9:B14" si="0">$B$7</f>
        <v>0</v>
      </c>
      <c r="C9" s="610"/>
      <c r="E9" s="608"/>
      <c r="H9" s="625"/>
      <c r="I9" s="626" t="s">
        <v>278</v>
      </c>
      <c r="L9" s="625"/>
    </row>
    <row r="10" spans="1:13" ht="13.5" thickBot="1" x14ac:dyDescent="0.25">
      <c r="A10" s="638" t="s">
        <v>61</v>
      </c>
      <c r="B10" s="639">
        <f t="shared" si="0"/>
        <v>0</v>
      </c>
      <c r="C10" s="610"/>
      <c r="E10" s="641"/>
      <c r="H10" s="625">
        <v>6</v>
      </c>
      <c r="I10" s="626" t="s">
        <v>279</v>
      </c>
    </row>
    <row r="11" spans="1:13" ht="14.25" thickTop="1" thickBot="1" x14ac:dyDescent="0.25">
      <c r="A11" s="638" t="s">
        <v>63</v>
      </c>
      <c r="B11" s="639">
        <f t="shared" si="0"/>
        <v>0</v>
      </c>
      <c r="C11" s="610"/>
      <c r="H11" s="625"/>
      <c r="I11" s="626" t="s">
        <v>280</v>
      </c>
    </row>
    <row r="12" spans="1:13" ht="13.5" thickTop="1" x14ac:dyDescent="0.2">
      <c r="A12" s="638" t="s">
        <v>73</v>
      </c>
      <c r="B12" s="639">
        <f t="shared" si="0"/>
        <v>0</v>
      </c>
      <c r="C12" s="610"/>
      <c r="E12" s="792" t="s">
        <v>285</v>
      </c>
      <c r="F12" s="793"/>
      <c r="H12" s="625">
        <v>7</v>
      </c>
      <c r="I12" s="626" t="s">
        <v>281</v>
      </c>
      <c r="L12" s="625"/>
      <c r="M12" s="626"/>
    </row>
    <row r="13" spans="1:13" x14ac:dyDescent="0.2">
      <c r="A13" s="638" t="s">
        <v>74</v>
      </c>
      <c r="B13" s="639">
        <f t="shared" si="0"/>
        <v>0</v>
      </c>
      <c r="C13" s="610"/>
      <c r="E13" s="794"/>
      <c r="F13" s="795"/>
      <c r="I13" s="626" t="s">
        <v>282</v>
      </c>
    </row>
    <row r="14" spans="1:13" ht="13.5" thickBot="1" x14ac:dyDescent="0.25">
      <c r="A14" s="642" t="s">
        <v>75</v>
      </c>
      <c r="B14" s="643">
        <f t="shared" si="0"/>
        <v>0</v>
      </c>
      <c r="C14" s="611"/>
      <c r="E14" s="786"/>
      <c r="F14" s="787"/>
      <c r="I14" s="644" t="s">
        <v>283</v>
      </c>
      <c r="L14" s="625"/>
    </row>
    <row r="15" spans="1:13" ht="14.25" thickTop="1" thickBot="1" x14ac:dyDescent="0.25">
      <c r="A15" s="645"/>
      <c r="B15" s="646"/>
      <c r="C15" s="647"/>
      <c r="I15" s="644" t="s">
        <v>284</v>
      </c>
    </row>
    <row r="16" spans="1:13" ht="13.5" thickTop="1" x14ac:dyDescent="0.2">
      <c r="A16" s="634" t="s">
        <v>179</v>
      </c>
      <c r="B16" s="783" t="s">
        <v>270</v>
      </c>
      <c r="C16" s="784"/>
      <c r="E16" s="634" t="s">
        <v>179</v>
      </c>
      <c r="F16" s="783" t="s">
        <v>201</v>
      </c>
      <c r="G16" s="785"/>
      <c r="H16" s="648"/>
      <c r="I16" s="635" t="s">
        <v>179</v>
      </c>
      <c r="J16" s="783" t="s">
        <v>196</v>
      </c>
      <c r="K16" s="784"/>
    </row>
    <row r="17" spans="1:12" x14ac:dyDescent="0.2">
      <c r="A17" s="649" t="s">
        <v>180</v>
      </c>
      <c r="B17" s="650" t="s">
        <v>181</v>
      </c>
      <c r="C17" s="651" t="s">
        <v>178</v>
      </c>
      <c r="D17" s="652"/>
      <c r="E17" s="653" t="s">
        <v>195</v>
      </c>
      <c r="F17" s="650" t="s">
        <v>181</v>
      </c>
      <c r="G17" s="650" t="s">
        <v>178</v>
      </c>
      <c r="H17" s="389"/>
      <c r="I17" s="650" t="s">
        <v>196</v>
      </c>
      <c r="J17" s="650" t="s">
        <v>181</v>
      </c>
      <c r="K17" s="651" t="s">
        <v>178</v>
      </c>
      <c r="L17" s="625"/>
    </row>
    <row r="18" spans="1:12" x14ac:dyDescent="0.2">
      <c r="A18" s="638" t="s">
        <v>185</v>
      </c>
      <c r="B18" s="609"/>
      <c r="C18" s="610"/>
      <c r="D18" s="652"/>
      <c r="E18" s="638" t="s">
        <v>99</v>
      </c>
      <c r="F18" s="609"/>
      <c r="G18" s="612"/>
      <c r="H18" s="389"/>
      <c r="I18" s="654" t="s">
        <v>74</v>
      </c>
      <c r="J18" s="609"/>
      <c r="K18" s="612"/>
    </row>
    <row r="19" spans="1:12" x14ac:dyDescent="0.2">
      <c r="A19" s="655" t="s">
        <v>186</v>
      </c>
      <c r="B19" s="656">
        <f>B18</f>
        <v>0</v>
      </c>
      <c r="C19" s="610"/>
      <c r="D19" s="652"/>
      <c r="E19" s="638" t="s">
        <v>101</v>
      </c>
      <c r="F19" s="656">
        <f>F18</f>
        <v>0</v>
      </c>
      <c r="G19" s="612"/>
      <c r="H19" s="389"/>
      <c r="I19" s="654" t="s">
        <v>75</v>
      </c>
      <c r="J19" s="656">
        <f>J18</f>
        <v>0</v>
      </c>
      <c r="K19" s="612"/>
    </row>
    <row r="20" spans="1:12" x14ac:dyDescent="0.2">
      <c r="A20" s="655" t="s">
        <v>187</v>
      </c>
      <c r="B20" s="656">
        <f>B18</f>
        <v>0</v>
      </c>
      <c r="C20" s="610"/>
      <c r="D20" s="652"/>
      <c r="E20" s="638" t="s">
        <v>103</v>
      </c>
      <c r="F20" s="656">
        <f>F18</f>
        <v>0</v>
      </c>
      <c r="G20" s="612"/>
      <c r="H20" s="389"/>
      <c r="I20" s="654" t="s">
        <v>76</v>
      </c>
      <c r="J20" s="656">
        <f>J18</f>
        <v>0</v>
      </c>
      <c r="K20" s="612"/>
      <c r="L20" s="625"/>
    </row>
    <row r="21" spans="1:12" x14ac:dyDescent="0.2">
      <c r="A21" s="655" t="s">
        <v>188</v>
      </c>
      <c r="B21" s="657">
        <f>B18</f>
        <v>0</v>
      </c>
      <c r="C21" s="610"/>
      <c r="D21" s="652"/>
      <c r="E21" s="638" t="s">
        <v>105</v>
      </c>
      <c r="F21" s="657">
        <f>F18</f>
        <v>0</v>
      </c>
      <c r="G21" s="612"/>
      <c r="H21" s="389"/>
      <c r="I21" s="654" t="s">
        <v>77</v>
      </c>
      <c r="J21" s="657">
        <f>J18</f>
        <v>0</v>
      </c>
      <c r="K21" s="612"/>
    </row>
    <row r="22" spans="1:12" x14ac:dyDescent="0.2">
      <c r="A22" s="655" t="s">
        <v>189</v>
      </c>
      <c r="B22" s="657">
        <f>B18</f>
        <v>0</v>
      </c>
      <c r="C22" s="610"/>
      <c r="D22" s="652"/>
      <c r="E22" s="638" t="s">
        <v>106</v>
      </c>
      <c r="F22" s="657">
        <f>F18</f>
        <v>0</v>
      </c>
      <c r="G22" s="612"/>
      <c r="H22" s="389"/>
      <c r="I22" s="654" t="s">
        <v>78</v>
      </c>
      <c r="J22" s="657">
        <f>J18</f>
        <v>0</v>
      </c>
      <c r="K22" s="612"/>
    </row>
    <row r="23" spans="1:12" x14ac:dyDescent="0.2">
      <c r="A23" s="655" t="s">
        <v>190</v>
      </c>
      <c r="B23" s="656">
        <f>B18</f>
        <v>0</v>
      </c>
      <c r="C23" s="610"/>
      <c r="D23" s="652"/>
      <c r="E23" s="638" t="s">
        <v>108</v>
      </c>
      <c r="F23" s="656">
        <f>F18</f>
        <v>0</v>
      </c>
      <c r="G23" s="612"/>
      <c r="H23" s="389"/>
      <c r="I23" s="654" t="s">
        <v>79</v>
      </c>
      <c r="J23" s="656">
        <f>J18</f>
        <v>0</v>
      </c>
      <c r="K23" s="612"/>
    </row>
    <row r="24" spans="1:12" x14ac:dyDescent="0.2">
      <c r="A24" s="655" t="s">
        <v>191</v>
      </c>
      <c r="B24" s="656">
        <f>B18</f>
        <v>0</v>
      </c>
      <c r="C24" s="610"/>
      <c r="D24" s="652"/>
      <c r="E24" s="638" t="s">
        <v>110</v>
      </c>
      <c r="F24" s="656">
        <f>F18</f>
        <v>0</v>
      </c>
      <c r="G24" s="612"/>
      <c r="H24" s="389"/>
      <c r="I24" s="654" t="s">
        <v>111</v>
      </c>
      <c r="J24" s="656">
        <f>J18</f>
        <v>0</v>
      </c>
      <c r="K24" s="612"/>
    </row>
    <row r="25" spans="1:12" ht="13.5" thickBot="1" x14ac:dyDescent="0.25">
      <c r="A25" s="658" t="s">
        <v>192</v>
      </c>
      <c r="B25" s="659">
        <f>B18</f>
        <v>0</v>
      </c>
      <c r="C25" s="611"/>
      <c r="D25" s="652"/>
      <c r="E25" s="642" t="s">
        <v>113</v>
      </c>
      <c r="F25" s="659">
        <f>F18</f>
        <v>0</v>
      </c>
      <c r="G25" s="613"/>
      <c r="H25" s="660"/>
      <c r="I25" s="661" t="s">
        <v>114</v>
      </c>
      <c r="J25" s="659">
        <f>J18</f>
        <v>0</v>
      </c>
      <c r="K25" s="613"/>
    </row>
    <row r="26" spans="1:12" ht="14.25" thickTop="1" thickBot="1" x14ac:dyDescent="0.25">
      <c r="A26" s="662"/>
      <c r="B26" s="663"/>
      <c r="C26" s="647"/>
      <c r="D26" s="652"/>
      <c r="E26" s="645"/>
      <c r="F26" s="663"/>
      <c r="G26" s="647"/>
      <c r="H26" s="629"/>
      <c r="I26" s="664"/>
      <c r="J26" s="665"/>
      <c r="K26" s="647"/>
    </row>
    <row r="27" spans="1:12" x14ac:dyDescent="0.2">
      <c r="A27" s="662"/>
      <c r="B27" s="663"/>
      <c r="C27" s="647"/>
      <c r="D27" s="652"/>
      <c r="E27" s="666" t="s">
        <v>179</v>
      </c>
      <c r="F27" s="780" t="s">
        <v>202</v>
      </c>
      <c r="G27" s="781"/>
      <c r="H27" s="667"/>
      <c r="I27" s="668" t="s">
        <v>179</v>
      </c>
      <c r="J27" s="780" t="s">
        <v>207</v>
      </c>
      <c r="K27" s="782"/>
    </row>
    <row r="28" spans="1:12" x14ac:dyDescent="0.2">
      <c r="A28" s="662"/>
      <c r="B28" s="663"/>
      <c r="C28" s="647"/>
      <c r="D28" s="652"/>
      <c r="E28" s="669" t="s">
        <v>199</v>
      </c>
      <c r="F28" s="650" t="s">
        <v>181</v>
      </c>
      <c r="G28" s="650" t="s">
        <v>178</v>
      </c>
      <c r="H28" s="389"/>
      <c r="I28" s="650" t="s">
        <v>225</v>
      </c>
      <c r="J28" s="650" t="s">
        <v>181</v>
      </c>
      <c r="K28" s="670" t="s">
        <v>178</v>
      </c>
    </row>
    <row r="29" spans="1:12" x14ac:dyDescent="0.2">
      <c r="A29" s="662"/>
      <c r="B29" s="663"/>
      <c r="C29" s="647"/>
      <c r="D29" s="652"/>
      <c r="E29" s="671" t="s">
        <v>100</v>
      </c>
      <c r="F29" s="609"/>
      <c r="G29" s="612"/>
      <c r="H29" s="389"/>
      <c r="I29" s="654" t="s">
        <v>36</v>
      </c>
      <c r="J29" s="609"/>
      <c r="K29" s="614"/>
    </row>
    <row r="30" spans="1:12" x14ac:dyDescent="0.2">
      <c r="A30" s="662"/>
      <c r="B30" s="663"/>
      <c r="C30" s="647"/>
      <c r="D30" s="652"/>
      <c r="E30" s="671" t="s">
        <v>104</v>
      </c>
      <c r="F30" s="656">
        <f>F29</f>
        <v>0</v>
      </c>
      <c r="G30" s="612"/>
      <c r="H30" s="389"/>
      <c r="I30" s="654" t="s">
        <v>61</v>
      </c>
      <c r="J30" s="656">
        <f>J29</f>
        <v>0</v>
      </c>
      <c r="K30" s="614"/>
    </row>
    <row r="31" spans="1:12" x14ac:dyDescent="0.2">
      <c r="A31" s="662"/>
      <c r="B31" s="663"/>
      <c r="C31" s="647"/>
      <c r="D31" s="652"/>
      <c r="E31" s="671" t="s">
        <v>107</v>
      </c>
      <c r="F31" s="656">
        <f>F29</f>
        <v>0</v>
      </c>
      <c r="G31" s="612"/>
      <c r="H31" s="389"/>
      <c r="I31" s="654" t="s">
        <v>63</v>
      </c>
      <c r="J31" s="656">
        <f>J29</f>
        <v>0</v>
      </c>
      <c r="K31" s="614"/>
    </row>
    <row r="32" spans="1:12" x14ac:dyDescent="0.2">
      <c r="A32" s="662"/>
      <c r="B32" s="663"/>
      <c r="C32" s="647"/>
      <c r="D32" s="652"/>
      <c r="E32" s="671" t="s">
        <v>112</v>
      </c>
      <c r="F32" s="657">
        <f>F29</f>
        <v>0</v>
      </c>
      <c r="G32" s="612"/>
      <c r="H32" s="389"/>
      <c r="I32" s="654" t="s">
        <v>73</v>
      </c>
      <c r="J32" s="657">
        <f>J29</f>
        <v>0</v>
      </c>
      <c r="K32" s="614"/>
    </row>
    <row r="33" spans="1:11" x14ac:dyDescent="0.2">
      <c r="A33" s="662"/>
      <c r="B33" s="663"/>
      <c r="C33" s="647"/>
      <c r="D33" s="652"/>
      <c r="E33" s="669" t="s">
        <v>200</v>
      </c>
      <c r="F33" s="657"/>
      <c r="G33" s="672"/>
      <c r="H33" s="673"/>
      <c r="I33" s="650" t="s">
        <v>213</v>
      </c>
      <c r="J33" s="657"/>
      <c r="K33" s="674"/>
    </row>
    <row r="34" spans="1:11" x14ac:dyDescent="0.2">
      <c r="A34" s="662"/>
      <c r="B34" s="663"/>
      <c r="C34" s="647"/>
      <c r="D34" s="652"/>
      <c r="E34" s="671" t="s">
        <v>203</v>
      </c>
      <c r="F34" s="657">
        <f>F29</f>
        <v>0</v>
      </c>
      <c r="G34" s="612"/>
      <c r="H34" s="389"/>
      <c r="I34" s="654" t="s">
        <v>212</v>
      </c>
      <c r="J34" s="657">
        <f>J29</f>
        <v>0</v>
      </c>
      <c r="K34" s="614"/>
    </row>
    <row r="35" spans="1:11" x14ac:dyDescent="0.2">
      <c r="E35" s="671" t="s">
        <v>204</v>
      </c>
      <c r="F35" s="656">
        <f>F29</f>
        <v>0</v>
      </c>
      <c r="G35" s="612"/>
      <c r="H35" s="389"/>
      <c r="I35" s="654" t="s">
        <v>209</v>
      </c>
      <c r="J35" s="657">
        <f>J30</f>
        <v>0</v>
      </c>
      <c r="K35" s="614"/>
    </row>
    <row r="36" spans="1:11" x14ac:dyDescent="0.2">
      <c r="E36" s="671" t="s">
        <v>205</v>
      </c>
      <c r="F36" s="656">
        <f>F29</f>
        <v>0</v>
      </c>
      <c r="G36" s="612"/>
      <c r="H36" s="389"/>
      <c r="I36" s="654" t="s">
        <v>210</v>
      </c>
      <c r="J36" s="657">
        <f>J31</f>
        <v>0</v>
      </c>
      <c r="K36" s="614"/>
    </row>
    <row r="37" spans="1:11" ht="13.5" thickBot="1" x14ac:dyDescent="0.25">
      <c r="E37" s="675" t="s">
        <v>206</v>
      </c>
      <c r="F37" s="676">
        <f>F29</f>
        <v>0</v>
      </c>
      <c r="G37" s="615"/>
      <c r="H37" s="677"/>
      <c r="I37" s="678" t="s">
        <v>211</v>
      </c>
      <c r="J37" s="679">
        <f>J32</f>
        <v>0</v>
      </c>
      <c r="K37" s="616"/>
    </row>
    <row r="38" spans="1:11" ht="13.5" thickBot="1" x14ac:dyDescent="0.25"/>
    <row r="39" spans="1:11" ht="13.5" thickTop="1" x14ac:dyDescent="0.2">
      <c r="E39" s="634" t="s">
        <v>179</v>
      </c>
      <c r="F39" s="783" t="s">
        <v>214</v>
      </c>
      <c r="G39" s="785"/>
      <c r="H39" s="680"/>
      <c r="I39" s="635" t="s">
        <v>179</v>
      </c>
      <c r="J39" s="783" t="s">
        <v>234</v>
      </c>
      <c r="K39" s="784"/>
    </row>
    <row r="40" spans="1:11" x14ac:dyDescent="0.2">
      <c r="E40" s="653" t="s">
        <v>215</v>
      </c>
      <c r="F40" s="650" t="s">
        <v>181</v>
      </c>
      <c r="G40" s="650" t="s">
        <v>178</v>
      </c>
      <c r="H40" s="389"/>
      <c r="I40" s="650" t="s">
        <v>226</v>
      </c>
      <c r="J40" s="650" t="s">
        <v>181</v>
      </c>
      <c r="K40" s="651" t="s">
        <v>178</v>
      </c>
    </row>
    <row r="41" spans="1:11" x14ac:dyDescent="0.2">
      <c r="E41" s="638" t="s">
        <v>102</v>
      </c>
      <c r="F41" s="609"/>
      <c r="G41" s="612"/>
      <c r="H41" s="389"/>
      <c r="I41" s="654" t="s">
        <v>33</v>
      </c>
      <c r="J41" s="609"/>
      <c r="K41" s="610"/>
    </row>
    <row r="42" spans="1:11" x14ac:dyDescent="0.2">
      <c r="E42" s="638" t="s">
        <v>109</v>
      </c>
      <c r="F42" s="656">
        <f>F41</f>
        <v>0</v>
      </c>
      <c r="G42" s="612"/>
      <c r="H42" s="389"/>
      <c r="I42" s="654" t="s">
        <v>35</v>
      </c>
      <c r="J42" s="656">
        <f>J41</f>
        <v>0</v>
      </c>
      <c r="K42" s="610"/>
    </row>
    <row r="43" spans="1:11" x14ac:dyDescent="0.2">
      <c r="E43" s="653" t="s">
        <v>216</v>
      </c>
      <c r="F43" s="656"/>
      <c r="G43" s="672"/>
      <c r="H43" s="389"/>
      <c r="I43" s="650" t="s">
        <v>227</v>
      </c>
      <c r="J43" s="656"/>
      <c r="K43" s="681"/>
    </row>
    <row r="44" spans="1:11" x14ac:dyDescent="0.2">
      <c r="E44" s="638" t="s">
        <v>220</v>
      </c>
      <c r="F44" s="656">
        <f>F42</f>
        <v>0</v>
      </c>
      <c r="G44" s="612"/>
      <c r="H44" s="389"/>
      <c r="I44" s="654" t="s">
        <v>231</v>
      </c>
      <c r="J44" s="656">
        <f>J41</f>
        <v>0</v>
      </c>
      <c r="K44" s="610"/>
    </row>
    <row r="45" spans="1:11" x14ac:dyDescent="0.2">
      <c r="E45" s="638" t="s">
        <v>221</v>
      </c>
      <c r="F45" s="657">
        <f>F44</f>
        <v>0</v>
      </c>
      <c r="G45" s="612"/>
      <c r="H45" s="389"/>
      <c r="I45" s="654" t="s">
        <v>232</v>
      </c>
      <c r="J45" s="657">
        <f>J41</f>
        <v>0</v>
      </c>
      <c r="K45" s="610"/>
    </row>
    <row r="46" spans="1:11" x14ac:dyDescent="0.2">
      <c r="E46" s="653" t="s">
        <v>217</v>
      </c>
      <c r="F46" s="657"/>
      <c r="G46" s="672"/>
      <c r="H46" s="673"/>
      <c r="I46" s="650" t="s">
        <v>228</v>
      </c>
      <c r="J46" s="657"/>
      <c r="K46" s="681"/>
    </row>
    <row r="47" spans="1:11" x14ac:dyDescent="0.2">
      <c r="E47" s="638" t="s">
        <v>137</v>
      </c>
      <c r="F47" s="657">
        <f>F45</f>
        <v>0</v>
      </c>
      <c r="G47" s="612"/>
      <c r="H47" s="389"/>
      <c r="I47" s="654" t="s">
        <v>139</v>
      </c>
      <c r="J47" s="657">
        <f>J41</f>
        <v>0</v>
      </c>
      <c r="K47" s="610"/>
    </row>
    <row r="48" spans="1:11" x14ac:dyDescent="0.2">
      <c r="E48" s="638" t="s">
        <v>149</v>
      </c>
      <c r="F48" s="656">
        <f>F47</f>
        <v>0</v>
      </c>
      <c r="G48" s="612"/>
      <c r="H48" s="389"/>
      <c r="I48" s="654" t="s">
        <v>151</v>
      </c>
      <c r="J48" s="656">
        <f>J41</f>
        <v>0</v>
      </c>
      <c r="K48" s="610"/>
    </row>
    <row r="49" spans="5:11" x14ac:dyDescent="0.2">
      <c r="E49" s="653" t="s">
        <v>218</v>
      </c>
      <c r="F49" s="656"/>
      <c r="G49" s="672"/>
      <c r="H49" s="389"/>
      <c r="I49" s="650" t="s">
        <v>229</v>
      </c>
      <c r="J49" s="656"/>
      <c r="K49" s="681"/>
    </row>
    <row r="50" spans="5:11" x14ac:dyDescent="0.2">
      <c r="E50" s="638" t="s">
        <v>136</v>
      </c>
      <c r="F50" s="656">
        <f>F48</f>
        <v>0</v>
      </c>
      <c r="G50" s="612"/>
      <c r="H50" s="389"/>
      <c r="I50" s="654" t="s">
        <v>138</v>
      </c>
      <c r="J50" s="656">
        <f>J41</f>
        <v>0</v>
      </c>
      <c r="K50" s="610"/>
    </row>
    <row r="51" spans="5:11" ht="13.5" thickBot="1" x14ac:dyDescent="0.25">
      <c r="E51" s="642" t="s">
        <v>148</v>
      </c>
      <c r="F51" s="659">
        <f>F50</f>
        <v>0</v>
      </c>
      <c r="G51" s="613"/>
      <c r="H51" s="660"/>
      <c r="I51" s="661" t="s">
        <v>150</v>
      </c>
      <c r="J51" s="659">
        <f>J41</f>
        <v>0</v>
      </c>
      <c r="K51" s="611"/>
    </row>
    <row r="52" spans="5:11" ht="14.25" thickTop="1" thickBot="1" x14ac:dyDescent="0.25"/>
    <row r="53" spans="5:11" x14ac:dyDescent="0.2">
      <c r="E53" s="666" t="s">
        <v>179</v>
      </c>
      <c r="F53" s="780" t="s">
        <v>236</v>
      </c>
      <c r="G53" s="781"/>
      <c r="H53" s="667"/>
      <c r="I53" s="668" t="s">
        <v>179</v>
      </c>
      <c r="J53" s="780" t="s">
        <v>237</v>
      </c>
      <c r="K53" s="782"/>
    </row>
    <row r="54" spans="5:11" x14ac:dyDescent="0.2">
      <c r="E54" s="682"/>
      <c r="F54" s="650" t="s">
        <v>181</v>
      </c>
      <c r="G54" s="650" t="s">
        <v>178</v>
      </c>
      <c r="H54" s="389"/>
      <c r="I54" s="683"/>
      <c r="J54" s="650" t="s">
        <v>181</v>
      </c>
      <c r="K54" s="670" t="s">
        <v>178</v>
      </c>
    </row>
    <row r="55" spans="5:11" x14ac:dyDescent="0.2">
      <c r="E55" s="669" t="s">
        <v>240</v>
      </c>
      <c r="F55" s="609"/>
      <c r="G55" s="612"/>
      <c r="H55" s="389"/>
      <c r="I55" s="650" t="s">
        <v>245</v>
      </c>
      <c r="J55" s="609"/>
      <c r="K55" s="614"/>
    </row>
    <row r="56" spans="5:11" x14ac:dyDescent="0.2">
      <c r="E56" s="669" t="s">
        <v>238</v>
      </c>
      <c r="F56" s="657">
        <f>F55</f>
        <v>0</v>
      </c>
      <c r="G56" s="612"/>
      <c r="H56" s="389"/>
      <c r="I56" s="650" t="s">
        <v>246</v>
      </c>
      <c r="J56" s="657">
        <f>J55</f>
        <v>0</v>
      </c>
      <c r="K56" s="614"/>
    </row>
    <row r="57" spans="5:11" x14ac:dyDescent="0.2">
      <c r="E57" s="669" t="s">
        <v>239</v>
      </c>
      <c r="F57" s="657">
        <f t="shared" ref="F57:F62" si="1">F56</f>
        <v>0</v>
      </c>
      <c r="G57" s="612"/>
      <c r="H57" s="389"/>
      <c r="I57" s="650" t="s">
        <v>247</v>
      </c>
      <c r="J57" s="657">
        <f t="shared" ref="J57:J62" si="2">J56</f>
        <v>0</v>
      </c>
      <c r="K57" s="614"/>
    </row>
    <row r="58" spans="5:11" x14ac:dyDescent="0.2">
      <c r="E58" s="669" t="s">
        <v>241</v>
      </c>
      <c r="F58" s="657">
        <f t="shared" si="1"/>
        <v>0</v>
      </c>
      <c r="G58" s="612"/>
      <c r="H58" s="389"/>
      <c r="I58" s="650" t="s">
        <v>248</v>
      </c>
      <c r="J58" s="657">
        <f t="shared" si="2"/>
        <v>0</v>
      </c>
      <c r="K58" s="614"/>
    </row>
    <row r="59" spans="5:11" x14ac:dyDescent="0.2">
      <c r="E59" s="669" t="s">
        <v>242</v>
      </c>
      <c r="F59" s="657">
        <f t="shared" si="1"/>
        <v>0</v>
      </c>
      <c r="G59" s="612"/>
      <c r="H59" s="389"/>
      <c r="I59" s="650" t="s">
        <v>249</v>
      </c>
      <c r="J59" s="657">
        <f t="shared" si="2"/>
        <v>0</v>
      </c>
      <c r="K59" s="614"/>
    </row>
    <row r="60" spans="5:11" x14ac:dyDescent="0.2">
      <c r="E60" s="669" t="s">
        <v>243</v>
      </c>
      <c r="F60" s="657">
        <f t="shared" si="1"/>
        <v>0</v>
      </c>
      <c r="G60" s="612"/>
      <c r="H60" s="389"/>
      <c r="I60" s="650" t="s">
        <v>250</v>
      </c>
      <c r="J60" s="657">
        <f t="shared" si="2"/>
        <v>0</v>
      </c>
      <c r="K60" s="614"/>
    </row>
    <row r="61" spans="5:11" x14ac:dyDescent="0.2">
      <c r="E61" s="684" t="s">
        <v>253</v>
      </c>
      <c r="F61" s="657">
        <f t="shared" si="1"/>
        <v>0</v>
      </c>
      <c r="G61" s="617"/>
      <c r="H61" s="389"/>
      <c r="I61" s="685" t="s">
        <v>252</v>
      </c>
      <c r="J61" s="657">
        <f t="shared" si="2"/>
        <v>0</v>
      </c>
      <c r="K61" s="618"/>
    </row>
    <row r="62" spans="5:11" ht="13.5" thickBot="1" x14ac:dyDescent="0.25">
      <c r="E62" s="686" t="s">
        <v>244</v>
      </c>
      <c r="F62" s="679">
        <f t="shared" si="1"/>
        <v>0</v>
      </c>
      <c r="G62" s="615"/>
      <c r="H62" s="687"/>
      <c r="I62" s="688" t="s">
        <v>251</v>
      </c>
      <c r="J62" s="679">
        <f t="shared" si="2"/>
        <v>0</v>
      </c>
      <c r="K62" s="616"/>
    </row>
  </sheetData>
  <sheetProtection sheet="1" objects="1" scenarios="1" selectLockedCells="1"/>
  <mergeCells count="16">
    <mergeCell ref="E14:F14"/>
    <mergeCell ref="A1:C1"/>
    <mergeCell ref="B2:C2"/>
    <mergeCell ref="B3:C3"/>
    <mergeCell ref="B4:C4"/>
    <mergeCell ref="E12:F12"/>
    <mergeCell ref="E13:F13"/>
    <mergeCell ref="F53:G53"/>
    <mergeCell ref="J53:K53"/>
    <mergeCell ref="B16:C16"/>
    <mergeCell ref="F39:G39"/>
    <mergeCell ref="J39:K39"/>
    <mergeCell ref="F16:G16"/>
    <mergeCell ref="J16:K16"/>
    <mergeCell ref="F27:G27"/>
    <mergeCell ref="J27:K2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remise_a_zero_des_poules">
                <anchor moveWithCells="1" sizeWithCells="1">
                  <from>
                    <xdr:col>11</xdr:col>
                    <xdr:colOff>19050</xdr:colOff>
                    <xdr:row>2</xdr:row>
                    <xdr:rowOff>0</xdr:rowOff>
                  </from>
                  <to>
                    <xdr:col>12</xdr:col>
                    <xdr:colOff>9525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Button 4">
              <controlPr defaultSize="0" print="0" autoFill="0" autoPict="0" macro="[0]!remise_a_zero_du_tableau">
                <anchor moveWithCells="1" sizeWithCells="1">
                  <from>
                    <xdr:col>11</xdr:col>
                    <xdr:colOff>19050</xdr:colOff>
                    <xdr:row>3</xdr:row>
                    <xdr:rowOff>66675</xdr:rowOff>
                  </from>
                  <to>
                    <xdr:col>12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C1044"/>
  <sheetViews>
    <sheetView showGridLines="0" view="pageBreakPreview" zoomScale="75" zoomScaleNormal="75" workbookViewId="0">
      <selection sqref="A1:XFD1048576"/>
    </sheetView>
  </sheetViews>
  <sheetFormatPr baseColWidth="10" defaultColWidth="4" defaultRowHeight="20.100000000000001" customHeight="1" outlineLevelCol="1" x14ac:dyDescent="0.2"/>
  <cols>
    <col min="1" max="3" width="8.28515625" style="231" customWidth="1"/>
    <col min="4" max="8" width="6.28515625" style="231" customWidth="1"/>
    <col min="9" max="9" width="6" style="231" customWidth="1" outlineLevel="1"/>
    <col min="10" max="10" width="5.85546875" style="231" customWidth="1" outlineLevel="1"/>
    <col min="11" max="11" width="11.7109375" style="231" customWidth="1"/>
    <col min="12" max="14" width="8.28515625" style="231" customWidth="1"/>
    <col min="15" max="18" width="6.28515625" style="231" customWidth="1"/>
    <col min="19" max="21" width="6.140625" style="231" customWidth="1"/>
    <col min="22" max="16384" width="4" style="231"/>
  </cols>
  <sheetData>
    <row r="1" spans="1:21" s="232" customFormat="1" ht="15.75" customHeight="1" x14ac:dyDescent="0.2">
      <c r="A1" s="1005" t="str">
        <f>liste!$A$4</f>
        <v>Circuit décathlon</v>
      </c>
      <c r="B1" s="1006"/>
      <c r="C1" s="1006"/>
      <c r="D1" s="1006"/>
      <c r="E1" s="1006"/>
      <c r="F1" s="1006"/>
      <c r="G1" s="1006"/>
      <c r="H1" s="1006"/>
      <c r="I1" s="1006"/>
      <c r="J1" s="1007"/>
      <c r="K1" s="425"/>
      <c r="L1" s="1005" t="str">
        <f>$A$1</f>
        <v>Circuit décathlon</v>
      </c>
      <c r="M1" s="1006"/>
      <c r="N1" s="1006"/>
      <c r="O1" s="1006"/>
      <c r="P1" s="1006"/>
      <c r="Q1" s="1006"/>
      <c r="R1" s="1006"/>
      <c r="S1" s="1006"/>
      <c r="T1" s="426"/>
      <c r="U1" s="426"/>
    </row>
    <row r="2" spans="1:21" s="232" customFormat="1" ht="15.75" x14ac:dyDescent="0.2">
      <c r="A2" s="425"/>
      <c r="B2" s="231"/>
      <c r="C2" s="231"/>
      <c r="D2" s="427" t="s">
        <v>83</v>
      </c>
      <c r="E2" s="1008">
        <f>Rens!B18</f>
        <v>0</v>
      </c>
      <c r="F2" s="1008"/>
      <c r="G2" s="231"/>
      <c r="H2" s="231"/>
      <c r="I2" s="231"/>
      <c r="J2" s="428"/>
      <c r="K2" s="425"/>
      <c r="L2" s="425"/>
      <c r="M2" s="231"/>
      <c r="N2" s="231"/>
      <c r="O2" s="427" t="s">
        <v>83</v>
      </c>
      <c r="P2" s="1008">
        <f>Rens!B19</f>
        <v>0</v>
      </c>
      <c r="Q2" s="1008"/>
      <c r="R2" s="231"/>
      <c r="S2" s="231"/>
      <c r="T2" s="231"/>
      <c r="U2" s="428"/>
    </row>
    <row r="3" spans="1:21" s="343" customFormat="1" ht="18.75" x14ac:dyDescent="0.2">
      <c r="A3" s="429" t="s">
        <v>84</v>
      </c>
      <c r="B3" s="430" t="str">
        <f>liste!$A$6</f>
        <v>Minimes</v>
      </c>
      <c r="C3" s="345"/>
      <c r="D3" s="345"/>
      <c r="E3" s="345"/>
      <c r="F3" s="345"/>
      <c r="G3" s="345"/>
      <c r="H3" s="345"/>
      <c r="I3" s="345"/>
      <c r="J3" s="431"/>
      <c r="K3" s="432"/>
      <c r="L3" s="429" t="s">
        <v>84</v>
      </c>
      <c r="M3" s="430" t="str">
        <f>$B$3</f>
        <v>Minimes</v>
      </c>
      <c r="N3" s="345"/>
      <c r="O3" s="345"/>
      <c r="P3" s="345"/>
      <c r="Q3" s="345"/>
      <c r="R3" s="345"/>
      <c r="S3" s="345"/>
      <c r="T3" s="345"/>
      <c r="U3" s="431"/>
    </row>
    <row r="4" spans="1:21" s="343" customFormat="1" ht="18.75" x14ac:dyDescent="0.2">
      <c r="A4" s="997" t="str">
        <f>Tableau!$U$7</f>
        <v>Barrages 2ème/3ème</v>
      </c>
      <c r="B4" s="998"/>
      <c r="C4" s="998"/>
      <c r="D4" s="998"/>
      <c r="E4" s="345"/>
      <c r="F4" s="345"/>
      <c r="G4" s="430" t="str">
        <f>Rens!A18</f>
        <v>17 - 16</v>
      </c>
      <c r="H4" s="430"/>
      <c r="I4" s="345"/>
      <c r="J4" s="431"/>
      <c r="K4" s="432"/>
      <c r="L4" s="997" t="str">
        <f>$A$4</f>
        <v>Barrages 2ème/3ème</v>
      </c>
      <c r="M4" s="998"/>
      <c r="N4" s="998"/>
      <c r="O4" s="998"/>
      <c r="P4" s="345"/>
      <c r="Q4" s="345"/>
      <c r="R4" s="430" t="str">
        <f>Rens!A19</f>
        <v>9 - 24</v>
      </c>
      <c r="S4" s="430"/>
      <c r="T4" s="430"/>
      <c r="U4" s="433"/>
    </row>
    <row r="5" spans="1:21" s="343" customFormat="1" ht="23.25" x14ac:dyDescent="0.2">
      <c r="A5" s="432"/>
      <c r="B5" s="434" t="str">
        <f>Tableau!AB48</f>
        <v/>
      </c>
      <c r="C5" s="345"/>
      <c r="D5" s="345"/>
      <c r="E5" s="344" t="s">
        <v>178</v>
      </c>
      <c r="F5" s="234">
        <f>Rens!C18</f>
        <v>0</v>
      </c>
      <c r="G5" s="345"/>
      <c r="H5" s="345"/>
      <c r="I5" s="345"/>
      <c r="J5" s="431"/>
      <c r="K5" s="432"/>
      <c r="L5" s="432"/>
      <c r="M5" s="434" t="str">
        <f>Tableau!AB40</f>
        <v/>
      </c>
      <c r="N5" s="345"/>
      <c r="O5" s="345"/>
      <c r="P5" s="344" t="s">
        <v>178</v>
      </c>
      <c r="Q5" s="234">
        <f>Rens!C19</f>
        <v>0</v>
      </c>
      <c r="R5" s="345"/>
      <c r="S5" s="345"/>
      <c r="T5" s="345"/>
      <c r="U5" s="431"/>
    </row>
    <row r="6" spans="1:21" s="442" customFormat="1" ht="15.75" x14ac:dyDescent="0.2">
      <c r="A6" s="435" t="s">
        <v>85</v>
      </c>
      <c r="B6" s="436" t="str">
        <f>IF(B5="","",VLOOKUP(B5,liste!$A$9:$G$145,2,FALSE))</f>
        <v/>
      </c>
      <c r="C6" s="437"/>
      <c r="D6" s="437"/>
      <c r="E6" s="437"/>
      <c r="F6" s="437"/>
      <c r="G6" s="437"/>
      <c r="H6" s="437"/>
      <c r="I6" s="438"/>
      <c r="J6" s="439"/>
      <c r="K6" s="440"/>
      <c r="L6" s="435" t="s">
        <v>85</v>
      </c>
      <c r="M6" s="436" t="str">
        <f>IF(M5="","",VLOOKUP(M5,liste!$A$9:$G$145,2,FALSE))</f>
        <v/>
      </c>
      <c r="N6" s="437"/>
      <c r="O6" s="437"/>
      <c r="P6" s="437"/>
      <c r="Q6" s="437"/>
      <c r="R6" s="437"/>
      <c r="S6" s="437"/>
      <c r="T6" s="437"/>
      <c r="U6" s="441"/>
    </row>
    <row r="7" spans="1:21" s="232" customFormat="1" ht="20.100000000000001" customHeight="1" x14ac:dyDescent="0.2">
      <c r="A7" s="425"/>
      <c r="B7" s="231"/>
      <c r="C7" s="231"/>
      <c r="D7" s="1002" t="s">
        <v>19</v>
      </c>
      <c r="E7" s="1003"/>
      <c r="F7" s="1003"/>
      <c r="G7" s="1003"/>
      <c r="H7" s="1003"/>
      <c r="I7" s="1003"/>
      <c r="J7" s="1004"/>
      <c r="K7" s="425"/>
      <c r="L7" s="443"/>
      <c r="M7" s="444"/>
      <c r="N7" s="444"/>
      <c r="O7" s="1002" t="s">
        <v>19</v>
      </c>
      <c r="P7" s="1003"/>
      <c r="Q7" s="1003"/>
      <c r="R7" s="1003"/>
      <c r="S7" s="1003"/>
      <c r="T7" s="1003"/>
      <c r="U7" s="1003"/>
    </row>
    <row r="8" spans="1:21" s="232" customFormat="1" ht="20.100000000000001" customHeight="1" x14ac:dyDescent="0.2">
      <c r="A8" s="992" t="s">
        <v>86</v>
      </c>
      <c r="B8" s="993"/>
      <c r="C8" s="993"/>
      <c r="D8" s="445">
        <v>1</v>
      </c>
      <c r="E8" s="445">
        <v>2</v>
      </c>
      <c r="F8" s="445">
        <v>3</v>
      </c>
      <c r="G8" s="445">
        <v>4</v>
      </c>
      <c r="H8" s="445">
        <v>5</v>
      </c>
      <c r="I8" s="445">
        <v>6</v>
      </c>
      <c r="J8" s="445">
        <v>7</v>
      </c>
      <c r="K8" s="425"/>
      <c r="L8" s="992" t="s">
        <v>86</v>
      </c>
      <c r="M8" s="993"/>
      <c r="N8" s="993"/>
      <c r="O8" s="445">
        <v>1</v>
      </c>
      <c r="P8" s="445">
        <v>2</v>
      </c>
      <c r="Q8" s="445">
        <v>3</v>
      </c>
      <c r="R8" s="445">
        <v>4</v>
      </c>
      <c r="S8" s="446">
        <v>5</v>
      </c>
      <c r="T8" s="497">
        <v>6</v>
      </c>
      <c r="U8" s="446">
        <v>7</v>
      </c>
    </row>
    <row r="9" spans="1:21" s="232" customFormat="1" ht="20.100000000000001" customHeight="1" x14ac:dyDescent="0.2">
      <c r="A9" s="500"/>
      <c r="B9" s="501"/>
      <c r="C9" s="501"/>
      <c r="D9" s="994" t="s">
        <v>92</v>
      </c>
      <c r="E9" s="995"/>
      <c r="F9" s="995"/>
      <c r="G9" s="995"/>
      <c r="H9" s="995"/>
      <c r="I9" s="995"/>
      <c r="J9" s="996"/>
      <c r="K9" s="425"/>
      <c r="L9" s="500"/>
      <c r="M9" s="501"/>
      <c r="N9" s="501"/>
      <c r="O9" s="994" t="s">
        <v>92</v>
      </c>
      <c r="P9" s="995"/>
      <c r="Q9" s="995"/>
      <c r="R9" s="995"/>
      <c r="S9" s="995"/>
      <c r="T9" s="995"/>
      <c r="U9" s="995"/>
    </row>
    <row r="10" spans="1:21" s="232" customFormat="1" ht="18.75" x14ac:dyDescent="0.2">
      <c r="A10" s="498" t="str">
        <f>IF(Tableau!$U$11="","",Tableau!$U$11)</f>
        <v/>
      </c>
      <c r="B10" s="231"/>
      <c r="C10" s="231"/>
      <c r="D10" s="447"/>
      <c r="E10" s="447"/>
      <c r="F10" s="447"/>
      <c r="G10" s="447"/>
      <c r="H10" s="447"/>
      <c r="I10" s="447"/>
      <c r="J10" s="447"/>
      <c r="K10" s="425"/>
      <c r="L10" s="498" t="str">
        <f>IF(Tableau!$U$15="","",Tableau!$U$15)</f>
        <v/>
      </c>
      <c r="M10" s="231"/>
      <c r="N10" s="231"/>
      <c r="O10" s="448"/>
      <c r="P10" s="448"/>
      <c r="Q10" s="448"/>
      <c r="R10" s="448"/>
      <c r="S10" s="448"/>
      <c r="T10" s="449"/>
      <c r="U10" s="448"/>
    </row>
    <row r="11" spans="1:21" s="232" customFormat="1" ht="20.100000000000001" customHeight="1" x14ac:dyDescent="0.2">
      <c r="A11" s="990" t="str">
        <f>IF(A10="","",VLOOKUP(A10,liste!$A$9:$G$145,2,FALSE))</f>
        <v/>
      </c>
      <c r="B11" s="991" t="s">
        <v>288</v>
      </c>
      <c r="C11" s="991" t="s">
        <v>288</v>
      </c>
      <c r="D11" s="447"/>
      <c r="E11" s="447"/>
      <c r="F11" s="447"/>
      <c r="G11" s="447"/>
      <c r="H11" s="447"/>
      <c r="I11" s="447"/>
      <c r="J11" s="447"/>
      <c r="K11" s="425"/>
      <c r="L11" s="990" t="str">
        <f>IF(L10="","",VLOOKUP(L10,liste!$A$9:$G$145,2,FALSE))</f>
        <v/>
      </c>
      <c r="M11" s="991" t="s">
        <v>288</v>
      </c>
      <c r="N11" s="991" t="s">
        <v>288</v>
      </c>
      <c r="O11" s="447"/>
      <c r="P11" s="447"/>
      <c r="Q11" s="447"/>
      <c r="R11" s="447"/>
      <c r="S11" s="447"/>
      <c r="T11" s="428"/>
      <c r="U11" s="447"/>
    </row>
    <row r="12" spans="1:21" s="232" customFormat="1" ht="20.100000000000001" customHeight="1" x14ac:dyDescent="0.2">
      <c r="A12" s="425"/>
      <c r="B12" s="231"/>
      <c r="C12" s="450" t="str">
        <f>IF(A10="","",VLOOKUP(A10,liste!$A$9:$G$145,4,FALSE))</f>
        <v/>
      </c>
      <c r="D12" s="451"/>
      <c r="E12" s="451"/>
      <c r="F12" s="451"/>
      <c r="G12" s="451"/>
      <c r="H12" s="451"/>
      <c r="I12" s="451"/>
      <c r="J12" s="451"/>
      <c r="K12" s="425"/>
      <c r="L12" s="425"/>
      <c r="M12" s="231"/>
      <c r="N12" s="450" t="str">
        <f>IF(L10="","",VLOOKUP(L10,liste!$A$9:$G$145,4,FALSE))</f>
        <v/>
      </c>
      <c r="O12" s="451"/>
      <c r="P12" s="451"/>
      <c r="Q12" s="451"/>
      <c r="R12" s="451"/>
      <c r="S12" s="451"/>
      <c r="T12" s="452"/>
      <c r="U12" s="451"/>
    </row>
    <row r="13" spans="1:21" s="232" customFormat="1" ht="15.75" x14ac:dyDescent="0.2">
      <c r="A13" s="453" t="str">
        <f>IF(A10="","",VLOOKUP(A10,liste!$A$9:$G$145,3,FALSE))</f>
        <v/>
      </c>
      <c r="B13" s="231"/>
      <c r="C13" s="231"/>
      <c r="D13" s="454"/>
      <c r="E13" s="454"/>
      <c r="F13" s="454"/>
      <c r="G13" s="454"/>
      <c r="H13" s="454"/>
      <c r="I13" s="455"/>
      <c r="J13" s="455"/>
      <c r="K13" s="425"/>
      <c r="L13" s="453" t="str">
        <f>IF(L10="","",VLOOKUP(L10,liste!$A$9:$G$145,3,FALSE))</f>
        <v/>
      </c>
      <c r="M13" s="231"/>
      <c r="N13" s="231"/>
      <c r="O13" s="454"/>
      <c r="P13" s="454"/>
      <c r="Q13" s="454"/>
      <c r="R13" s="454"/>
      <c r="S13" s="454"/>
      <c r="T13" s="456"/>
      <c r="U13" s="454"/>
    </row>
    <row r="14" spans="1:21" s="232" customFormat="1" ht="12.75" x14ac:dyDescent="0.2">
      <c r="A14" s="425"/>
      <c r="B14" s="230" t="s">
        <v>9</v>
      </c>
      <c r="C14" s="231"/>
      <c r="D14" s="457"/>
      <c r="E14" s="457"/>
      <c r="F14" s="457"/>
      <c r="G14" s="457"/>
      <c r="H14" s="457"/>
      <c r="I14" s="458"/>
      <c r="J14" s="458"/>
      <c r="K14" s="425"/>
      <c r="L14" s="425"/>
      <c r="M14" s="230" t="s">
        <v>9</v>
      </c>
      <c r="N14" s="231"/>
      <c r="O14" s="457"/>
      <c r="P14" s="457"/>
      <c r="Q14" s="457"/>
      <c r="R14" s="457"/>
      <c r="S14" s="457"/>
      <c r="T14" s="459"/>
      <c r="U14" s="457"/>
    </row>
    <row r="15" spans="1:21" s="232" customFormat="1" ht="18.75" x14ac:dyDescent="0.2">
      <c r="A15" s="498" t="str">
        <f>IF(Tableau!$U$13="","",Tableau!$U$13)</f>
        <v/>
      </c>
      <c r="B15" s="231"/>
      <c r="C15" s="231"/>
      <c r="D15" s="448"/>
      <c r="E15" s="448"/>
      <c r="F15" s="448"/>
      <c r="G15" s="448"/>
      <c r="H15" s="448"/>
      <c r="I15" s="448"/>
      <c r="J15" s="448"/>
      <c r="K15" s="425"/>
      <c r="L15" s="498" t="str">
        <f>IF(Tableau!$U$17="","",Tableau!$U$17)</f>
        <v/>
      </c>
      <c r="M15" s="231"/>
      <c r="N15" s="231"/>
      <c r="O15" s="448"/>
      <c r="P15" s="448"/>
      <c r="Q15" s="448"/>
      <c r="R15" s="448"/>
      <c r="S15" s="448"/>
      <c r="T15" s="449"/>
      <c r="U15" s="448"/>
    </row>
    <row r="16" spans="1:21" s="232" customFormat="1" ht="20.100000000000001" customHeight="1" x14ac:dyDescent="0.2">
      <c r="A16" s="990" t="str">
        <f>IF(A15="","",VLOOKUP(A15,liste!$A$9:$G$145,2,FALSE))</f>
        <v/>
      </c>
      <c r="B16" s="991" t="s">
        <v>288</v>
      </c>
      <c r="C16" s="991" t="s">
        <v>288</v>
      </c>
      <c r="D16" s="447"/>
      <c r="E16" s="447"/>
      <c r="F16" s="447"/>
      <c r="G16" s="447"/>
      <c r="H16" s="447"/>
      <c r="I16" s="447"/>
      <c r="J16" s="447"/>
      <c r="K16" s="425"/>
      <c r="L16" s="990" t="str">
        <f>IF(L15="","",VLOOKUP(L15,liste!$A$9:$G$145,2,FALSE))</f>
        <v/>
      </c>
      <c r="M16" s="991" t="s">
        <v>288</v>
      </c>
      <c r="N16" s="991" t="s">
        <v>288</v>
      </c>
      <c r="O16" s="447"/>
      <c r="P16" s="447"/>
      <c r="Q16" s="447"/>
      <c r="R16" s="447"/>
      <c r="S16" s="447"/>
      <c r="T16" s="428"/>
      <c r="U16" s="447"/>
    </row>
    <row r="17" spans="1:21" s="232" customFormat="1" ht="20.100000000000001" customHeight="1" x14ac:dyDescent="0.2">
      <c r="A17" s="425"/>
      <c r="B17" s="231"/>
      <c r="C17" s="460" t="str">
        <f>IF(A15="","",VLOOKUP(A15,liste!$A$9:$G$145,4,FALSE))</f>
        <v/>
      </c>
      <c r="D17" s="451"/>
      <c r="E17" s="451"/>
      <c r="F17" s="451"/>
      <c r="G17" s="451"/>
      <c r="H17" s="451"/>
      <c r="I17" s="451"/>
      <c r="J17" s="451"/>
      <c r="K17" s="425"/>
      <c r="L17" s="425"/>
      <c r="M17" s="231"/>
      <c r="N17" s="460" t="str">
        <f>IF(L15="","",VLOOKUP(L15,liste!$A$9:$G$145,4,FALSE))</f>
        <v/>
      </c>
      <c r="O17" s="451"/>
      <c r="P17" s="451"/>
      <c r="Q17" s="451"/>
      <c r="R17" s="451"/>
      <c r="S17" s="451"/>
      <c r="T17" s="452"/>
      <c r="U17" s="451"/>
    </row>
    <row r="18" spans="1:21" s="232" customFormat="1" ht="15.75" x14ac:dyDescent="0.2">
      <c r="A18" s="453" t="str">
        <f>IF(A15="","",VLOOKUP(A15,liste!$A$9:$G$145,3,FALSE))</f>
        <v/>
      </c>
      <c r="B18" s="231"/>
      <c r="C18" s="231"/>
      <c r="D18" s="454"/>
      <c r="E18" s="454"/>
      <c r="F18" s="454"/>
      <c r="G18" s="454"/>
      <c r="H18" s="454"/>
      <c r="I18" s="455"/>
      <c r="J18" s="455"/>
      <c r="K18" s="425"/>
      <c r="L18" s="453" t="str">
        <f>IF(L15="","",VLOOKUP(L15,liste!$A$9:$G$145,3,FALSE))</f>
        <v/>
      </c>
      <c r="M18" s="231"/>
      <c r="N18" s="231"/>
      <c r="O18" s="454"/>
      <c r="P18" s="454"/>
      <c r="Q18" s="454"/>
      <c r="R18" s="454"/>
      <c r="S18" s="454"/>
      <c r="T18" s="456"/>
      <c r="U18" s="454"/>
    </row>
    <row r="19" spans="1:21" s="232" customFormat="1" ht="12.75" x14ac:dyDescent="0.2">
      <c r="A19" s="425"/>
      <c r="B19" s="231"/>
      <c r="C19" s="231"/>
      <c r="D19" s="457"/>
      <c r="E19" s="457"/>
      <c r="F19" s="457"/>
      <c r="G19" s="457"/>
      <c r="H19" s="457"/>
      <c r="I19" s="458"/>
      <c r="J19" s="458"/>
      <c r="K19" s="425"/>
      <c r="L19" s="425"/>
      <c r="M19" s="231"/>
      <c r="N19" s="231"/>
      <c r="O19" s="457"/>
      <c r="P19" s="457"/>
      <c r="Q19" s="457"/>
      <c r="R19" s="457"/>
      <c r="S19" s="457"/>
      <c r="T19" s="459"/>
      <c r="U19" s="457"/>
    </row>
    <row r="20" spans="1:21" s="232" customFormat="1" ht="12.75" x14ac:dyDescent="0.2">
      <c r="A20" s="425"/>
      <c r="B20" s="231"/>
      <c r="C20" s="231"/>
      <c r="D20" s="231"/>
      <c r="E20" s="231"/>
      <c r="F20" s="231"/>
      <c r="G20" s="231"/>
      <c r="H20" s="231"/>
      <c r="I20" s="231"/>
      <c r="J20" s="428"/>
      <c r="K20" s="425"/>
      <c r="L20" s="425"/>
      <c r="M20" s="231"/>
      <c r="N20" s="231"/>
      <c r="O20" s="231"/>
      <c r="P20" s="231"/>
      <c r="Q20" s="231"/>
      <c r="R20" s="231"/>
      <c r="S20" s="231"/>
      <c r="T20" s="231"/>
      <c r="U20" s="428"/>
    </row>
    <row r="21" spans="1:21" s="232" customFormat="1" ht="20.100000000000001" customHeight="1" x14ac:dyDescent="0.2">
      <c r="A21" s="1009" t="s">
        <v>90</v>
      </c>
      <c r="B21" s="1010"/>
      <c r="C21" s="1010"/>
      <c r="D21" s="461" t="s">
        <v>77</v>
      </c>
      <c r="E21" s="461" t="s">
        <v>87</v>
      </c>
      <c r="F21" s="461" t="s">
        <v>88</v>
      </c>
      <c r="G21" s="231"/>
      <c r="H21" s="231"/>
      <c r="I21" s="231"/>
      <c r="J21" s="428"/>
      <c r="K21" s="425"/>
      <c r="L21" s="1009" t="s">
        <v>90</v>
      </c>
      <c r="M21" s="1010"/>
      <c r="N21" s="1010"/>
      <c r="O21" s="461" t="s">
        <v>77</v>
      </c>
      <c r="P21" s="461" t="s">
        <v>87</v>
      </c>
      <c r="Q21" s="461" t="s">
        <v>88</v>
      </c>
      <c r="R21" s="231"/>
      <c r="S21" s="231"/>
      <c r="T21" s="231"/>
      <c r="U21" s="428"/>
    </row>
    <row r="22" spans="1:21" s="232" customFormat="1" ht="20.100000000000001" customHeight="1" x14ac:dyDescent="0.2">
      <c r="A22" s="462" t="str">
        <f>A11</f>
        <v/>
      </c>
      <c r="B22" s="426"/>
      <c r="C22" s="449"/>
      <c r="D22" s="448"/>
      <c r="E22" s="448"/>
      <c r="F22" s="448"/>
      <c r="G22" s="231"/>
      <c r="H22" s="231"/>
      <c r="I22" s="231"/>
      <c r="J22" s="428"/>
      <c r="K22" s="425"/>
      <c r="L22" s="462" t="str">
        <f>L11</f>
        <v/>
      </c>
      <c r="M22" s="426"/>
      <c r="N22" s="449"/>
      <c r="O22" s="448"/>
      <c r="P22" s="448"/>
      <c r="Q22" s="448"/>
      <c r="R22" s="231"/>
      <c r="S22" s="231"/>
      <c r="T22" s="231"/>
      <c r="U22" s="428"/>
    </row>
    <row r="23" spans="1:21" s="232" customFormat="1" ht="20.100000000000001" customHeight="1" x14ac:dyDescent="0.2">
      <c r="A23" s="463"/>
      <c r="B23" s="233"/>
      <c r="C23" s="452"/>
      <c r="D23" s="451"/>
      <c r="E23" s="451"/>
      <c r="F23" s="451"/>
      <c r="G23" s="231"/>
      <c r="H23" s="231"/>
      <c r="I23" s="231"/>
      <c r="J23" s="428"/>
      <c r="K23" s="425"/>
      <c r="L23" s="463"/>
      <c r="M23" s="233"/>
      <c r="N23" s="452"/>
      <c r="O23" s="451"/>
      <c r="P23" s="451"/>
      <c r="Q23" s="451"/>
      <c r="R23" s="231"/>
      <c r="S23" s="231"/>
      <c r="T23" s="231"/>
      <c r="U23" s="428"/>
    </row>
    <row r="24" spans="1:21" s="232" customFormat="1" ht="20.100000000000001" customHeight="1" x14ac:dyDescent="0.2">
      <c r="A24" s="462" t="str">
        <f>A16</f>
        <v/>
      </c>
      <c r="B24" s="426"/>
      <c r="C24" s="449"/>
      <c r="D24" s="448"/>
      <c r="E24" s="448"/>
      <c r="F24" s="448"/>
      <c r="G24" s="231"/>
      <c r="H24" s="231"/>
      <c r="I24" s="231"/>
      <c r="J24" s="428"/>
      <c r="K24" s="425"/>
      <c r="L24" s="462" t="str">
        <f>L16</f>
        <v/>
      </c>
      <c r="M24" s="426"/>
      <c r="N24" s="449"/>
      <c r="O24" s="448"/>
      <c r="P24" s="448"/>
      <c r="Q24" s="448"/>
      <c r="R24" s="231"/>
      <c r="S24" s="231"/>
      <c r="T24" s="231"/>
      <c r="U24" s="428"/>
    </row>
    <row r="25" spans="1:21" s="232" customFormat="1" ht="20.100000000000001" customHeight="1" x14ac:dyDescent="0.2">
      <c r="A25" s="463"/>
      <c r="B25" s="233"/>
      <c r="C25" s="452"/>
      <c r="D25" s="451"/>
      <c r="E25" s="451"/>
      <c r="F25" s="451"/>
      <c r="G25" s="231"/>
      <c r="H25" s="231"/>
      <c r="I25" s="231"/>
      <c r="J25" s="428"/>
      <c r="K25" s="425"/>
      <c r="L25" s="463"/>
      <c r="M25" s="233"/>
      <c r="N25" s="452"/>
      <c r="O25" s="451"/>
      <c r="P25" s="451"/>
      <c r="Q25" s="451"/>
      <c r="R25" s="231"/>
      <c r="S25" s="231"/>
      <c r="T25" s="231"/>
      <c r="U25" s="428"/>
    </row>
    <row r="26" spans="1:21" s="232" customFormat="1" ht="12.75" x14ac:dyDescent="0.2">
      <c r="A26" s="464" t="s">
        <v>91</v>
      </c>
      <c r="B26" s="231"/>
      <c r="C26" s="231"/>
      <c r="D26" s="231"/>
      <c r="E26" s="231"/>
      <c r="F26" s="231"/>
      <c r="G26" s="231"/>
      <c r="H26" s="231"/>
      <c r="I26" s="231"/>
      <c r="J26" s="428"/>
      <c r="K26" s="425"/>
      <c r="L26" s="464" t="s">
        <v>91</v>
      </c>
      <c r="M26" s="231"/>
      <c r="N26" s="231"/>
      <c r="O26" s="231"/>
      <c r="P26" s="231"/>
      <c r="Q26" s="231"/>
      <c r="R26" s="231"/>
      <c r="S26" s="231"/>
      <c r="T26" s="231"/>
      <c r="U26" s="428"/>
    </row>
    <row r="27" spans="1:21" s="232" customFormat="1" ht="12.75" x14ac:dyDescent="0.2">
      <c r="A27" s="425"/>
      <c r="B27" s="231"/>
      <c r="C27" s="231"/>
      <c r="D27" s="231"/>
      <c r="E27" s="231"/>
      <c r="F27" s="231"/>
      <c r="G27" s="231"/>
      <c r="H27" s="231"/>
      <c r="I27" s="231"/>
      <c r="J27" s="428"/>
      <c r="K27" s="425"/>
      <c r="L27" s="425"/>
      <c r="M27" s="231"/>
      <c r="N27" s="231"/>
      <c r="O27" s="231"/>
      <c r="P27" s="231"/>
      <c r="Q27" s="231"/>
      <c r="R27" s="231"/>
      <c r="S27" s="231"/>
      <c r="T27" s="231"/>
      <c r="U27" s="428"/>
    </row>
    <row r="28" spans="1:21" s="232" customFormat="1" ht="12.75" x14ac:dyDescent="0.2">
      <c r="A28" s="465" t="s">
        <v>89</v>
      </c>
      <c r="B28" s="233"/>
      <c r="C28" s="233"/>
      <c r="D28" s="233"/>
      <c r="E28" s="233"/>
      <c r="F28" s="233"/>
      <c r="G28" s="233"/>
      <c r="H28" s="233"/>
      <c r="I28" s="233"/>
      <c r="J28" s="452"/>
      <c r="K28" s="425"/>
      <c r="L28" s="465" t="s">
        <v>89</v>
      </c>
      <c r="M28" s="233"/>
      <c r="N28" s="233"/>
      <c r="O28" s="233"/>
      <c r="P28" s="233"/>
      <c r="Q28" s="233"/>
      <c r="R28" s="233"/>
      <c r="S28" s="233"/>
      <c r="T28" s="233"/>
      <c r="U28" s="452"/>
    </row>
    <row r="29" spans="1:21" s="232" customFormat="1" ht="30" customHeight="1" x14ac:dyDescent="0.2"/>
    <row r="30" spans="1:21" s="232" customFormat="1" ht="30" customHeight="1" x14ac:dyDescent="0.2"/>
    <row r="31" spans="1:21" s="232" customFormat="1" ht="20.100000000000001" customHeight="1" x14ac:dyDescent="0.2">
      <c r="A31" s="1005" t="str">
        <f>$A$1</f>
        <v>Circuit décathlon</v>
      </c>
      <c r="B31" s="1006"/>
      <c r="C31" s="1006"/>
      <c r="D31" s="1006"/>
      <c r="E31" s="1006"/>
      <c r="F31" s="1006"/>
      <c r="G31" s="1006"/>
      <c r="H31" s="1006"/>
      <c r="I31" s="1006"/>
      <c r="J31" s="1007"/>
      <c r="K31" s="425"/>
      <c r="L31" s="1005" t="str">
        <f>$A$1</f>
        <v>Circuit décathlon</v>
      </c>
      <c r="M31" s="1006"/>
      <c r="N31" s="1006"/>
      <c r="O31" s="1006"/>
      <c r="P31" s="1006"/>
      <c r="Q31" s="1006"/>
      <c r="R31" s="1006"/>
      <c r="S31" s="1006"/>
      <c r="T31" s="426"/>
      <c r="U31" s="449"/>
    </row>
    <row r="32" spans="1:21" s="232" customFormat="1" ht="15.75" x14ac:dyDescent="0.2">
      <c r="A32" s="425"/>
      <c r="B32" s="231"/>
      <c r="C32" s="231"/>
      <c r="D32" s="427" t="s">
        <v>83</v>
      </c>
      <c r="E32" s="1008">
        <f>Rens!B20</f>
        <v>0</v>
      </c>
      <c r="F32" s="1008"/>
      <c r="G32" s="231"/>
      <c r="H32" s="231"/>
      <c r="I32" s="231"/>
      <c r="J32" s="428"/>
      <c r="K32" s="425"/>
      <c r="L32" s="425"/>
      <c r="M32" s="231"/>
      <c r="N32" s="231"/>
      <c r="O32" s="427" t="s">
        <v>83</v>
      </c>
      <c r="P32" s="1008">
        <f>Rens!B21</f>
        <v>0</v>
      </c>
      <c r="Q32" s="1008"/>
      <c r="R32" s="231"/>
      <c r="S32" s="231"/>
      <c r="T32" s="231"/>
      <c r="U32" s="428"/>
    </row>
    <row r="33" spans="1:21" s="343" customFormat="1" ht="18.75" x14ac:dyDescent="0.2">
      <c r="A33" s="429" t="s">
        <v>84</v>
      </c>
      <c r="B33" s="430" t="str">
        <f>$B$3</f>
        <v>Minimes</v>
      </c>
      <c r="C33" s="345"/>
      <c r="D33" s="345"/>
      <c r="E33" s="345"/>
      <c r="F33" s="345"/>
      <c r="G33" s="345"/>
      <c r="H33" s="345"/>
      <c r="I33" s="345"/>
      <c r="J33" s="431"/>
      <c r="K33" s="432"/>
      <c r="L33" s="429" t="s">
        <v>84</v>
      </c>
      <c r="M33" s="430" t="str">
        <f>$B$3</f>
        <v>Minimes</v>
      </c>
      <c r="N33" s="345"/>
      <c r="O33" s="345"/>
      <c r="P33" s="345"/>
      <c r="Q33" s="345"/>
      <c r="R33" s="345"/>
      <c r="S33" s="345"/>
      <c r="T33" s="345"/>
      <c r="U33" s="431"/>
    </row>
    <row r="34" spans="1:21" s="343" customFormat="1" ht="18.75" x14ac:dyDescent="0.2">
      <c r="A34" s="997" t="str">
        <f>$A$4</f>
        <v>Barrages 2ème/3ème</v>
      </c>
      <c r="B34" s="998"/>
      <c r="C34" s="998"/>
      <c r="D34" s="998"/>
      <c r="E34" s="345"/>
      <c r="F34" s="345"/>
      <c r="G34" s="430" t="str">
        <f>Rens!A20</f>
        <v>21 - 12</v>
      </c>
      <c r="H34" s="430"/>
      <c r="I34" s="345"/>
      <c r="J34" s="431"/>
      <c r="K34" s="432"/>
      <c r="L34" s="997" t="str">
        <f>$A$4</f>
        <v>Barrages 2ème/3ème</v>
      </c>
      <c r="M34" s="998"/>
      <c r="N34" s="998"/>
      <c r="O34" s="998"/>
      <c r="P34" s="345"/>
      <c r="Q34" s="345"/>
      <c r="R34" s="466" t="str">
        <f>Rens!A21</f>
        <v>13 - 20</v>
      </c>
      <c r="S34" s="430"/>
      <c r="T34" s="466"/>
      <c r="U34" s="433"/>
    </row>
    <row r="35" spans="1:21" s="343" customFormat="1" ht="23.25" x14ac:dyDescent="0.2">
      <c r="A35" s="432"/>
      <c r="B35" s="434" t="str">
        <f>Tableau!AB38</f>
        <v/>
      </c>
      <c r="C35" s="345"/>
      <c r="D35" s="345"/>
      <c r="E35" s="344" t="s">
        <v>178</v>
      </c>
      <c r="F35" s="234">
        <f>Rens!C20</f>
        <v>0</v>
      </c>
      <c r="G35" s="345"/>
      <c r="H35" s="345"/>
      <c r="I35" s="345"/>
      <c r="J35" s="431"/>
      <c r="K35" s="432"/>
      <c r="L35" s="432"/>
      <c r="M35" s="434" t="str">
        <f>Tableau!AB30</f>
        <v/>
      </c>
      <c r="N35" s="345"/>
      <c r="O35" s="345"/>
      <c r="P35" s="344" t="s">
        <v>178</v>
      </c>
      <c r="Q35" s="234">
        <f>Rens!C21</f>
        <v>0</v>
      </c>
      <c r="R35" s="345"/>
      <c r="S35" s="345"/>
      <c r="T35" s="345"/>
      <c r="U35" s="431"/>
    </row>
    <row r="36" spans="1:21" s="442" customFormat="1" ht="15.75" x14ac:dyDescent="0.2">
      <c r="A36" s="435" t="s">
        <v>85</v>
      </c>
      <c r="B36" s="436" t="str">
        <f>IF(B35="","",VLOOKUP(B35,liste!$A$9:$G$145,2,FALSE))</f>
        <v/>
      </c>
      <c r="C36" s="437"/>
      <c r="D36" s="437"/>
      <c r="E36" s="437"/>
      <c r="F36" s="437"/>
      <c r="G36" s="437"/>
      <c r="H36" s="437"/>
      <c r="I36" s="438"/>
      <c r="J36" s="439"/>
      <c r="K36" s="440"/>
      <c r="L36" s="435" t="s">
        <v>85</v>
      </c>
      <c r="M36" s="436" t="str">
        <f>IF(M35="","",VLOOKUP(M35,liste!$A$9:$G$145,2,FALSE))</f>
        <v/>
      </c>
      <c r="N36" s="437"/>
      <c r="O36" s="437"/>
      <c r="P36" s="437"/>
      <c r="Q36" s="437"/>
      <c r="R36" s="437"/>
      <c r="S36" s="437"/>
      <c r="T36" s="437"/>
      <c r="U36" s="441"/>
    </row>
    <row r="37" spans="1:21" s="232" customFormat="1" ht="20.100000000000001" customHeight="1" x14ac:dyDescent="0.2">
      <c r="A37" s="425"/>
      <c r="D37" s="999" t="s">
        <v>19</v>
      </c>
      <c r="E37" s="1000"/>
      <c r="F37" s="1000"/>
      <c r="G37" s="1000"/>
      <c r="H37" s="1000"/>
      <c r="I37" s="1000"/>
      <c r="J37" s="1001"/>
      <c r="K37" s="425"/>
      <c r="L37" s="443"/>
      <c r="M37" s="444"/>
      <c r="N37" s="444"/>
      <c r="O37" s="1002" t="s">
        <v>19</v>
      </c>
      <c r="P37" s="1003"/>
      <c r="Q37" s="1003"/>
      <c r="R37" s="1003"/>
      <c r="S37" s="1003"/>
      <c r="T37" s="1003"/>
      <c r="U37" s="1004"/>
    </row>
    <row r="38" spans="1:21" s="232" customFormat="1" ht="20.100000000000001" customHeight="1" x14ac:dyDescent="0.2">
      <c r="A38" s="992" t="s">
        <v>86</v>
      </c>
      <c r="B38" s="993"/>
      <c r="C38" s="993"/>
      <c r="D38" s="467">
        <v>1</v>
      </c>
      <c r="E38" s="467">
        <v>2</v>
      </c>
      <c r="F38" s="467">
        <v>3</v>
      </c>
      <c r="G38" s="467">
        <v>4</v>
      </c>
      <c r="H38" s="467">
        <v>5</v>
      </c>
      <c r="I38" s="467">
        <v>6</v>
      </c>
      <c r="J38" s="467">
        <v>7</v>
      </c>
      <c r="K38" s="425"/>
      <c r="L38" s="992" t="s">
        <v>86</v>
      </c>
      <c r="M38" s="993"/>
      <c r="N38" s="993"/>
      <c r="O38" s="445">
        <v>1</v>
      </c>
      <c r="P38" s="445">
        <v>2</v>
      </c>
      <c r="Q38" s="445">
        <v>3</v>
      </c>
      <c r="R38" s="445">
        <v>4</v>
      </c>
      <c r="S38" s="446">
        <v>5</v>
      </c>
      <c r="T38" s="497">
        <v>6</v>
      </c>
      <c r="U38" s="446">
        <v>7</v>
      </c>
    </row>
    <row r="39" spans="1:21" s="232" customFormat="1" ht="20.100000000000001" customHeight="1" x14ac:dyDescent="0.2">
      <c r="A39" s="500"/>
      <c r="B39" s="501"/>
      <c r="C39" s="501"/>
      <c r="D39" s="994" t="s">
        <v>92</v>
      </c>
      <c r="E39" s="995"/>
      <c r="F39" s="995"/>
      <c r="G39" s="995"/>
      <c r="H39" s="995"/>
      <c r="I39" s="995"/>
      <c r="J39" s="996"/>
      <c r="K39" s="425"/>
      <c r="L39" s="500"/>
      <c r="M39" s="501"/>
      <c r="N39" s="501"/>
      <c r="O39" s="994" t="s">
        <v>92</v>
      </c>
      <c r="P39" s="995"/>
      <c r="Q39" s="995"/>
      <c r="R39" s="995"/>
      <c r="S39" s="995"/>
      <c r="T39" s="995"/>
      <c r="U39" s="996"/>
    </row>
    <row r="40" spans="1:21" s="232" customFormat="1" ht="18.75" x14ac:dyDescent="0.2">
      <c r="A40" s="498" t="str">
        <f>IF(Tableau!$U$21="","",Tableau!$U$21)</f>
        <v/>
      </c>
      <c r="C40" s="231"/>
      <c r="D40" s="448"/>
      <c r="E40" s="448"/>
      <c r="F40" s="448"/>
      <c r="G40" s="448"/>
      <c r="H40" s="448"/>
      <c r="I40" s="448"/>
      <c r="J40" s="448"/>
      <c r="K40" s="425"/>
      <c r="L40" s="498" t="str">
        <f>IF(Tableau!$U$25="","",Tableau!$U$25)</f>
        <v/>
      </c>
      <c r="M40" s="231"/>
      <c r="N40" s="231"/>
      <c r="O40" s="448"/>
      <c r="P40" s="448"/>
      <c r="Q40" s="448"/>
      <c r="R40" s="448"/>
      <c r="S40" s="448"/>
      <c r="T40" s="449"/>
      <c r="U40" s="448"/>
    </row>
    <row r="41" spans="1:21" s="232" customFormat="1" ht="20.100000000000001" customHeight="1" x14ac:dyDescent="0.2">
      <c r="A41" s="990" t="str">
        <f>IF(A40="","",VLOOKUP(A40,liste!$A$9:$G$145,2,FALSE))</f>
        <v/>
      </c>
      <c r="B41" s="991" t="s">
        <v>288</v>
      </c>
      <c r="C41" s="991" t="s">
        <v>288</v>
      </c>
      <c r="D41" s="447"/>
      <c r="E41" s="447"/>
      <c r="F41" s="447"/>
      <c r="G41" s="447"/>
      <c r="H41" s="447"/>
      <c r="I41" s="447"/>
      <c r="J41" s="447"/>
      <c r="K41" s="425"/>
      <c r="L41" s="990" t="str">
        <f>IF(L40="","",VLOOKUP(L40,liste!$A$9:$G$145,2,FALSE))</f>
        <v/>
      </c>
      <c r="M41" s="991" t="s">
        <v>288</v>
      </c>
      <c r="N41" s="991" t="s">
        <v>288</v>
      </c>
      <c r="O41" s="447"/>
      <c r="P41" s="447"/>
      <c r="Q41" s="447"/>
      <c r="R41" s="447"/>
      <c r="S41" s="447"/>
      <c r="T41" s="428"/>
      <c r="U41" s="447"/>
    </row>
    <row r="42" spans="1:21" s="232" customFormat="1" ht="20.100000000000001" customHeight="1" x14ac:dyDescent="0.2">
      <c r="A42" s="440"/>
      <c r="B42" s="438"/>
      <c r="C42" s="450" t="str">
        <f>IF(A40="","",VLOOKUP(A40,liste!$A$9:$G$145,4,FALSE))</f>
        <v/>
      </c>
      <c r="D42" s="451"/>
      <c r="E42" s="451"/>
      <c r="F42" s="451"/>
      <c r="G42" s="451"/>
      <c r="H42" s="451"/>
      <c r="I42" s="451"/>
      <c r="J42" s="451"/>
      <c r="K42" s="425"/>
      <c r="L42" s="440"/>
      <c r="M42" s="438"/>
      <c r="N42" s="450" t="str">
        <f>IF(L40="","",VLOOKUP(L40,liste!$A$9:$G$145,4,FALSE))</f>
        <v/>
      </c>
      <c r="O42" s="451"/>
      <c r="P42" s="451"/>
      <c r="Q42" s="451"/>
      <c r="R42" s="451"/>
      <c r="S42" s="451"/>
      <c r="T42" s="452"/>
      <c r="U42" s="451"/>
    </row>
    <row r="43" spans="1:21" s="232" customFormat="1" ht="15.75" x14ac:dyDescent="0.2">
      <c r="A43" s="468" t="str">
        <f>IF(A40="","",VLOOKUP(A40,liste!$A$9:$G$145,3,FALSE))</f>
        <v/>
      </c>
      <c r="B43" s="438"/>
      <c r="C43" s="438"/>
      <c r="D43" s="455"/>
      <c r="E43" s="455"/>
      <c r="F43" s="455"/>
      <c r="G43" s="455"/>
      <c r="H43" s="455"/>
      <c r="I43" s="455"/>
      <c r="J43" s="455"/>
      <c r="K43" s="425"/>
      <c r="L43" s="468" t="str">
        <f>IF(L40="","",VLOOKUP(L40,liste!$A$9:$G$145,3,FALSE))</f>
        <v/>
      </c>
      <c r="M43" s="438"/>
      <c r="N43" s="438"/>
      <c r="O43" s="454"/>
      <c r="P43" s="454"/>
      <c r="Q43" s="454"/>
      <c r="R43" s="454"/>
      <c r="S43" s="454"/>
      <c r="T43" s="456"/>
      <c r="U43" s="454"/>
    </row>
    <row r="44" spans="1:21" s="232" customFormat="1" ht="12.75" x14ac:dyDescent="0.2">
      <c r="A44" s="425"/>
      <c r="B44" s="230" t="s">
        <v>9</v>
      </c>
      <c r="C44" s="231"/>
      <c r="D44" s="458"/>
      <c r="E44" s="458"/>
      <c r="F44" s="458"/>
      <c r="G44" s="458"/>
      <c r="H44" s="458"/>
      <c r="I44" s="458"/>
      <c r="J44" s="458"/>
      <c r="K44" s="425"/>
      <c r="L44" s="425"/>
      <c r="M44" s="230" t="s">
        <v>9</v>
      </c>
      <c r="N44" s="231"/>
      <c r="O44" s="457"/>
      <c r="P44" s="457"/>
      <c r="Q44" s="457"/>
      <c r="R44" s="457"/>
      <c r="S44" s="457"/>
      <c r="T44" s="459"/>
      <c r="U44" s="457"/>
    </row>
    <row r="45" spans="1:21" s="232" customFormat="1" ht="18.75" x14ac:dyDescent="0.2">
      <c r="A45" s="498" t="str">
        <f>IF(Tableau!$U$23="","",Tableau!$U$23)</f>
        <v/>
      </c>
      <c r="B45" s="469"/>
      <c r="C45" s="231"/>
      <c r="D45" s="448"/>
      <c r="E45" s="448"/>
      <c r="F45" s="448"/>
      <c r="G45" s="448"/>
      <c r="H45" s="448"/>
      <c r="I45" s="448"/>
      <c r="J45" s="448"/>
      <c r="K45" s="425"/>
      <c r="L45" s="498" t="str">
        <f>IF(Tableau!$U$27="","",Tableau!$U$27)</f>
        <v/>
      </c>
      <c r="M45" s="231"/>
      <c r="N45" s="231"/>
      <c r="O45" s="448"/>
      <c r="P45" s="448"/>
      <c r="Q45" s="448"/>
      <c r="R45" s="448"/>
      <c r="S45" s="448"/>
      <c r="T45" s="449"/>
      <c r="U45" s="448"/>
    </row>
    <row r="46" spans="1:21" s="232" customFormat="1" ht="20.100000000000001" customHeight="1" x14ac:dyDescent="0.2">
      <c r="A46" s="990" t="str">
        <f>IF(A45="","",VLOOKUP(A45,liste!$A$9:$G$145,2,FALSE))</f>
        <v/>
      </c>
      <c r="B46" s="991" t="s">
        <v>288</v>
      </c>
      <c r="C46" s="991" t="s">
        <v>288</v>
      </c>
      <c r="D46" s="447"/>
      <c r="E46" s="447"/>
      <c r="F46" s="447"/>
      <c r="G46" s="447"/>
      <c r="H46" s="447"/>
      <c r="I46" s="447"/>
      <c r="J46" s="447"/>
      <c r="K46" s="425"/>
      <c r="L46" s="990" t="str">
        <f>IF(L45="","",VLOOKUP(L45,liste!$A$9:$G$145,2,FALSE))</f>
        <v/>
      </c>
      <c r="M46" s="991" t="s">
        <v>288</v>
      </c>
      <c r="N46" s="991" t="s">
        <v>288</v>
      </c>
      <c r="O46" s="447"/>
      <c r="P46" s="447"/>
      <c r="Q46" s="447"/>
      <c r="R46" s="447"/>
      <c r="S46" s="447"/>
      <c r="T46" s="428"/>
      <c r="U46" s="447"/>
    </row>
    <row r="47" spans="1:21" s="232" customFormat="1" ht="20.100000000000001" customHeight="1" x14ac:dyDescent="0.2">
      <c r="A47" s="440"/>
      <c r="B47" s="438"/>
      <c r="C47" s="450" t="str">
        <f>IF(A45="","",VLOOKUP(A45,liste!$A$9:$G$145,4,FALSE))</f>
        <v/>
      </c>
      <c r="D47" s="451"/>
      <c r="E47" s="451"/>
      <c r="F47" s="451"/>
      <c r="G47" s="451"/>
      <c r="H47" s="451"/>
      <c r="I47" s="451"/>
      <c r="J47" s="451"/>
      <c r="K47" s="425"/>
      <c r="L47" s="440"/>
      <c r="M47" s="438"/>
      <c r="N47" s="450" t="str">
        <f>IF(L45="","",VLOOKUP(L45,liste!$A$9:$G$145,4,FALSE))</f>
        <v/>
      </c>
      <c r="O47" s="451"/>
      <c r="P47" s="451"/>
      <c r="Q47" s="451"/>
      <c r="R47" s="451"/>
      <c r="S47" s="451"/>
      <c r="T47" s="452"/>
      <c r="U47" s="451"/>
    </row>
    <row r="48" spans="1:21" s="232" customFormat="1" ht="15.75" x14ac:dyDescent="0.2">
      <c r="A48" s="468" t="str">
        <f>IF(A45="","",VLOOKUP(A45,liste!$A$9:$G$145,3,FALSE))</f>
        <v/>
      </c>
      <c r="B48" s="438"/>
      <c r="C48" s="438"/>
      <c r="D48" s="455"/>
      <c r="E48" s="455"/>
      <c r="F48" s="455"/>
      <c r="G48" s="455"/>
      <c r="H48" s="455"/>
      <c r="I48" s="455"/>
      <c r="J48" s="455"/>
      <c r="K48" s="425"/>
      <c r="L48" s="468" t="str">
        <f>IF(L45="","",VLOOKUP(L45,liste!$A$9:$G$145,3,FALSE))</f>
        <v/>
      </c>
      <c r="M48" s="438"/>
      <c r="N48" s="438"/>
      <c r="O48" s="454"/>
      <c r="P48" s="454"/>
      <c r="Q48" s="454"/>
      <c r="R48" s="454"/>
      <c r="S48" s="454"/>
      <c r="T48" s="456"/>
      <c r="U48" s="454"/>
    </row>
    <row r="49" spans="1:21" s="232" customFormat="1" ht="12.75" x14ac:dyDescent="0.2">
      <c r="A49" s="425"/>
      <c r="B49" s="231"/>
      <c r="C49" s="231"/>
      <c r="D49" s="458"/>
      <c r="E49" s="458"/>
      <c r="F49" s="458"/>
      <c r="G49" s="458"/>
      <c r="H49" s="458"/>
      <c r="I49" s="458"/>
      <c r="J49" s="458"/>
      <c r="K49" s="425"/>
      <c r="L49" s="425"/>
      <c r="M49" s="231"/>
      <c r="N49" s="231"/>
      <c r="O49" s="457"/>
      <c r="P49" s="457"/>
      <c r="Q49" s="457"/>
      <c r="R49" s="457"/>
      <c r="S49" s="457"/>
      <c r="T49" s="459"/>
      <c r="U49" s="457"/>
    </row>
    <row r="50" spans="1:21" s="232" customFormat="1" ht="12.75" x14ac:dyDescent="0.2">
      <c r="A50" s="425"/>
      <c r="B50" s="231"/>
      <c r="C50" s="231"/>
      <c r="D50" s="231"/>
      <c r="E50" s="231"/>
      <c r="F50" s="231"/>
      <c r="G50" s="231"/>
      <c r="H50" s="231"/>
      <c r="I50" s="231"/>
      <c r="J50" s="428"/>
      <c r="K50" s="425"/>
      <c r="L50" s="425"/>
      <c r="M50" s="231"/>
      <c r="N50" s="231"/>
      <c r="O50" s="231"/>
      <c r="P50" s="231"/>
      <c r="Q50" s="231"/>
      <c r="R50" s="231"/>
      <c r="S50" s="426"/>
      <c r="T50" s="231"/>
      <c r="U50" s="428"/>
    </row>
    <row r="51" spans="1:21" s="232" customFormat="1" ht="20.100000000000001" customHeight="1" x14ac:dyDescent="0.2">
      <c r="A51" s="988" t="s">
        <v>90</v>
      </c>
      <c r="B51" s="989"/>
      <c r="C51" s="989"/>
      <c r="D51" s="461" t="s">
        <v>77</v>
      </c>
      <c r="E51" s="461" t="s">
        <v>87</v>
      </c>
      <c r="F51" s="461" t="s">
        <v>88</v>
      </c>
      <c r="G51" s="231"/>
      <c r="H51" s="231"/>
      <c r="I51" s="231"/>
      <c r="J51" s="428"/>
      <c r="K51" s="425"/>
      <c r="L51" s="988" t="s">
        <v>90</v>
      </c>
      <c r="M51" s="989"/>
      <c r="N51" s="989"/>
      <c r="O51" s="461" t="s">
        <v>77</v>
      </c>
      <c r="P51" s="461" t="s">
        <v>87</v>
      </c>
      <c r="Q51" s="461" t="s">
        <v>88</v>
      </c>
      <c r="R51" s="231"/>
      <c r="S51" s="231"/>
      <c r="T51" s="231"/>
      <c r="U51" s="428"/>
    </row>
    <row r="52" spans="1:21" s="232" customFormat="1" ht="20.100000000000001" customHeight="1" x14ac:dyDescent="0.2">
      <c r="A52" s="462" t="str">
        <f>A41</f>
        <v/>
      </c>
      <c r="B52" s="426"/>
      <c r="C52" s="449"/>
      <c r="D52" s="448"/>
      <c r="E52" s="448"/>
      <c r="F52" s="448"/>
      <c r="G52" s="231"/>
      <c r="H52" s="231"/>
      <c r="I52" s="231"/>
      <c r="J52" s="428"/>
      <c r="K52" s="425"/>
      <c r="L52" s="462" t="str">
        <f>L41</f>
        <v/>
      </c>
      <c r="M52" s="426"/>
      <c r="N52" s="449"/>
      <c r="O52" s="448"/>
      <c r="P52" s="448"/>
      <c r="Q52" s="448"/>
      <c r="R52" s="231"/>
      <c r="S52" s="231"/>
      <c r="T52" s="231"/>
      <c r="U52" s="428"/>
    </row>
    <row r="53" spans="1:21" s="232" customFormat="1" ht="20.100000000000001" customHeight="1" x14ac:dyDescent="0.2">
      <c r="A53" s="463"/>
      <c r="B53" s="233"/>
      <c r="C53" s="452"/>
      <c r="D53" s="451"/>
      <c r="E53" s="451"/>
      <c r="F53" s="451"/>
      <c r="G53" s="231"/>
      <c r="H53" s="231"/>
      <c r="I53" s="231"/>
      <c r="J53" s="428"/>
      <c r="K53" s="425"/>
      <c r="L53" s="463"/>
      <c r="M53" s="233"/>
      <c r="N53" s="452"/>
      <c r="O53" s="451"/>
      <c r="P53" s="451"/>
      <c r="Q53" s="451"/>
      <c r="R53" s="231"/>
      <c r="S53" s="231"/>
      <c r="T53" s="231"/>
      <c r="U53" s="428"/>
    </row>
    <row r="54" spans="1:21" s="232" customFormat="1" ht="20.100000000000001" customHeight="1" x14ac:dyDescent="0.2">
      <c r="A54" s="462" t="str">
        <f>A46</f>
        <v/>
      </c>
      <c r="B54" s="426"/>
      <c r="C54" s="449"/>
      <c r="D54" s="448"/>
      <c r="E54" s="448"/>
      <c r="F54" s="448"/>
      <c r="G54" s="231"/>
      <c r="H54" s="231"/>
      <c r="I54" s="231"/>
      <c r="J54" s="428"/>
      <c r="K54" s="425"/>
      <c r="L54" s="462" t="str">
        <f>L46</f>
        <v/>
      </c>
      <c r="M54" s="426"/>
      <c r="N54" s="449"/>
      <c r="O54" s="448"/>
      <c r="P54" s="448"/>
      <c r="Q54" s="448"/>
      <c r="R54" s="231"/>
      <c r="S54" s="231"/>
      <c r="T54" s="231"/>
      <c r="U54" s="428"/>
    </row>
    <row r="55" spans="1:21" s="232" customFormat="1" ht="20.100000000000001" customHeight="1" x14ac:dyDescent="0.2">
      <c r="A55" s="463"/>
      <c r="B55" s="233"/>
      <c r="C55" s="452"/>
      <c r="D55" s="451"/>
      <c r="E55" s="451"/>
      <c r="F55" s="451"/>
      <c r="G55" s="231"/>
      <c r="H55" s="231"/>
      <c r="I55" s="231"/>
      <c r="J55" s="428"/>
      <c r="K55" s="425"/>
      <c r="L55" s="463"/>
      <c r="M55" s="233"/>
      <c r="N55" s="452"/>
      <c r="O55" s="451"/>
      <c r="P55" s="451"/>
      <c r="Q55" s="451"/>
      <c r="R55" s="231"/>
      <c r="S55" s="231"/>
      <c r="T55" s="231"/>
      <c r="U55" s="428"/>
    </row>
    <row r="56" spans="1:21" s="232" customFormat="1" ht="12.75" x14ac:dyDescent="0.2">
      <c r="A56" s="464" t="s">
        <v>91</v>
      </c>
      <c r="B56" s="231"/>
      <c r="C56" s="231"/>
      <c r="D56" s="231"/>
      <c r="E56" s="231"/>
      <c r="F56" s="231"/>
      <c r="G56" s="231"/>
      <c r="H56" s="231"/>
      <c r="I56" s="231"/>
      <c r="J56" s="428"/>
      <c r="K56" s="425"/>
      <c r="L56" s="464" t="s">
        <v>91</v>
      </c>
      <c r="M56" s="231"/>
      <c r="N56" s="231"/>
      <c r="O56" s="231"/>
      <c r="P56" s="231"/>
      <c r="Q56" s="231"/>
      <c r="R56" s="231"/>
      <c r="S56" s="231"/>
      <c r="T56" s="231"/>
      <c r="U56" s="428"/>
    </row>
    <row r="57" spans="1:21" s="232" customFormat="1" ht="12.75" x14ac:dyDescent="0.2">
      <c r="A57" s="425"/>
      <c r="B57" s="231"/>
      <c r="C57" s="231"/>
      <c r="D57" s="231"/>
      <c r="E57" s="231"/>
      <c r="F57" s="231"/>
      <c r="G57" s="231"/>
      <c r="H57" s="231"/>
      <c r="I57" s="231"/>
      <c r="J57" s="428"/>
      <c r="K57" s="425"/>
      <c r="L57" s="425"/>
      <c r="M57" s="231"/>
      <c r="N57" s="231"/>
      <c r="O57" s="231"/>
      <c r="P57" s="231"/>
      <c r="Q57" s="231"/>
      <c r="R57" s="231"/>
      <c r="S57" s="231"/>
      <c r="T57" s="231"/>
      <c r="U57" s="428"/>
    </row>
    <row r="58" spans="1:21" s="232" customFormat="1" ht="12.75" x14ac:dyDescent="0.2">
      <c r="A58" s="465" t="s">
        <v>89</v>
      </c>
      <c r="B58" s="233"/>
      <c r="C58" s="233"/>
      <c r="D58" s="233"/>
      <c r="E58" s="233"/>
      <c r="F58" s="233"/>
      <c r="G58" s="233"/>
      <c r="H58" s="233"/>
      <c r="I58" s="233"/>
      <c r="J58" s="452"/>
      <c r="K58" s="425"/>
      <c r="L58" s="465" t="s">
        <v>89</v>
      </c>
      <c r="M58" s="233"/>
      <c r="N58" s="233"/>
      <c r="O58" s="233"/>
      <c r="P58" s="233"/>
      <c r="Q58" s="233"/>
      <c r="R58" s="233"/>
      <c r="S58" s="233"/>
      <c r="T58" s="233"/>
      <c r="U58" s="452"/>
    </row>
    <row r="59" spans="1:21" s="232" customFormat="1" ht="15.75" customHeight="1" x14ac:dyDescent="0.2">
      <c r="A59" s="1005" t="str">
        <f>$A$1</f>
        <v>Circuit décathlon</v>
      </c>
      <c r="B59" s="1006"/>
      <c r="C59" s="1006"/>
      <c r="D59" s="1006"/>
      <c r="E59" s="1006"/>
      <c r="F59" s="1006"/>
      <c r="G59" s="1006"/>
      <c r="H59" s="1006"/>
      <c r="I59" s="1006"/>
      <c r="J59" s="1007"/>
      <c r="K59" s="425"/>
      <c r="L59" s="1005" t="str">
        <f>$A$1</f>
        <v>Circuit décathlon</v>
      </c>
      <c r="M59" s="1006"/>
      <c r="N59" s="1006"/>
      <c r="O59" s="1006"/>
      <c r="P59" s="1006"/>
      <c r="Q59" s="1006"/>
      <c r="R59" s="1006"/>
      <c r="S59" s="1006"/>
      <c r="T59" s="426"/>
      <c r="U59" s="449"/>
    </row>
    <row r="60" spans="1:21" s="232" customFormat="1" ht="15.75" x14ac:dyDescent="0.2">
      <c r="A60" s="425"/>
      <c r="B60" s="231"/>
      <c r="C60" s="231"/>
      <c r="D60" s="427" t="s">
        <v>83</v>
      </c>
      <c r="E60" s="1008">
        <f>Rens!B22</f>
        <v>0</v>
      </c>
      <c r="F60" s="1008"/>
      <c r="G60" s="231"/>
      <c r="H60" s="231"/>
      <c r="I60" s="231"/>
      <c r="J60" s="428"/>
      <c r="K60" s="425"/>
      <c r="L60" s="425"/>
      <c r="M60" s="231"/>
      <c r="N60" s="231"/>
      <c r="O60" s="427" t="s">
        <v>83</v>
      </c>
      <c r="P60" s="1008">
        <f>Rens!B23</f>
        <v>0</v>
      </c>
      <c r="Q60" s="1008"/>
      <c r="R60" s="231"/>
      <c r="S60" s="231"/>
      <c r="T60" s="231"/>
      <c r="U60" s="428"/>
    </row>
    <row r="61" spans="1:21" s="232" customFormat="1" ht="18.75" x14ac:dyDescent="0.2">
      <c r="A61" s="429" t="s">
        <v>84</v>
      </c>
      <c r="B61" s="430" t="str">
        <f>$B$3</f>
        <v>Minimes</v>
      </c>
      <c r="C61" s="231"/>
      <c r="D61" s="231"/>
      <c r="E61" s="231"/>
      <c r="F61" s="231"/>
      <c r="G61" s="231"/>
      <c r="H61" s="231"/>
      <c r="I61" s="231"/>
      <c r="J61" s="428"/>
      <c r="K61" s="425"/>
      <c r="L61" s="429" t="s">
        <v>84</v>
      </c>
      <c r="M61" s="430" t="str">
        <f>$B$3</f>
        <v>Minimes</v>
      </c>
      <c r="N61" s="231"/>
      <c r="O61" s="231"/>
      <c r="P61" s="231"/>
      <c r="Q61" s="231"/>
      <c r="R61" s="231"/>
      <c r="S61" s="231"/>
      <c r="T61" s="231"/>
      <c r="U61" s="428"/>
    </row>
    <row r="62" spans="1:21" s="232" customFormat="1" ht="18.75" x14ac:dyDescent="0.2">
      <c r="A62" s="997" t="str">
        <f>$A$4</f>
        <v>Barrages 2ème/3ème</v>
      </c>
      <c r="B62" s="998"/>
      <c r="C62" s="998"/>
      <c r="D62" s="998"/>
      <c r="E62" s="231"/>
      <c r="F62" s="231"/>
      <c r="G62" s="499" t="str">
        <f>Rens!A22</f>
        <v>19 - 14</v>
      </c>
      <c r="H62" s="231"/>
      <c r="I62" s="231"/>
      <c r="J62" s="428"/>
      <c r="K62" s="425"/>
      <c r="L62" s="997" t="str">
        <f>$A$4</f>
        <v>Barrages 2ème/3ème</v>
      </c>
      <c r="M62" s="998"/>
      <c r="N62" s="998"/>
      <c r="O62" s="998"/>
      <c r="P62" s="231"/>
      <c r="Q62" s="231"/>
      <c r="R62" s="499" t="str">
        <f>Rens!A23</f>
        <v>11 - 22</v>
      </c>
      <c r="S62" s="231"/>
      <c r="T62" s="499"/>
      <c r="U62" s="428"/>
    </row>
    <row r="63" spans="1:21" s="343" customFormat="1" ht="23.25" x14ac:dyDescent="0.2">
      <c r="A63" s="432"/>
      <c r="B63" s="434" t="str">
        <f>Tableau!AB28</f>
        <v/>
      </c>
      <c r="C63" s="345"/>
      <c r="D63" s="345"/>
      <c r="E63" s="344" t="s">
        <v>178</v>
      </c>
      <c r="F63" s="234">
        <f>Rens!C22</f>
        <v>0</v>
      </c>
      <c r="G63" s="345"/>
      <c r="H63" s="345"/>
      <c r="I63" s="345"/>
      <c r="J63" s="431"/>
      <c r="K63" s="432"/>
      <c r="L63" s="432"/>
      <c r="M63" s="434" t="str">
        <f>Tableau!AB20</f>
        <v/>
      </c>
      <c r="N63" s="345"/>
      <c r="O63" s="345"/>
      <c r="P63" s="344" t="s">
        <v>178</v>
      </c>
      <c r="Q63" s="234">
        <f>Rens!C23</f>
        <v>0</v>
      </c>
      <c r="R63" s="345"/>
      <c r="S63" s="345"/>
      <c r="T63" s="345"/>
      <c r="U63" s="431"/>
    </row>
    <row r="64" spans="1:21" s="232" customFormat="1" ht="15.75" x14ac:dyDescent="0.2">
      <c r="A64" s="470" t="s">
        <v>85</v>
      </c>
      <c r="B64" s="436" t="str">
        <f>IF(B63="","",VLOOKUP(B63,liste!$A$9:$G$145,2,FALSE))</f>
        <v/>
      </c>
      <c r="C64" s="471"/>
      <c r="D64" s="471"/>
      <c r="E64" s="471"/>
      <c r="F64" s="471"/>
      <c r="G64" s="471"/>
      <c r="H64" s="471"/>
      <c r="I64" s="231"/>
      <c r="J64" s="428"/>
      <c r="K64" s="425"/>
      <c r="L64" s="470" t="s">
        <v>85</v>
      </c>
      <c r="M64" s="436" t="str">
        <f>IF(M63="","",VLOOKUP(M63,liste!$A$9:$G$145,2,FALSE))</f>
        <v/>
      </c>
      <c r="N64" s="471"/>
      <c r="O64" s="471"/>
      <c r="P64" s="471"/>
      <c r="Q64" s="471"/>
      <c r="R64" s="471"/>
      <c r="S64" s="471"/>
      <c r="T64" s="471"/>
      <c r="U64" s="472"/>
    </row>
    <row r="65" spans="1:21" s="232" customFormat="1" ht="20.100000000000001" customHeight="1" x14ac:dyDescent="0.2">
      <c r="A65" s="425"/>
      <c r="B65" s="231"/>
      <c r="C65" s="231"/>
      <c r="D65" s="999" t="s">
        <v>19</v>
      </c>
      <c r="E65" s="1000"/>
      <c r="F65" s="1000"/>
      <c r="G65" s="1000"/>
      <c r="H65" s="1000"/>
      <c r="I65" s="1000"/>
      <c r="J65" s="1001"/>
      <c r="K65" s="425"/>
      <c r="L65" s="443"/>
      <c r="M65" s="444"/>
      <c r="N65" s="444"/>
      <c r="O65" s="1002" t="s">
        <v>19</v>
      </c>
      <c r="P65" s="1003"/>
      <c r="Q65" s="1003"/>
      <c r="R65" s="1003"/>
      <c r="S65" s="1003"/>
      <c r="T65" s="1003"/>
      <c r="U65" s="1004"/>
    </row>
    <row r="66" spans="1:21" s="232" customFormat="1" ht="20.100000000000001" customHeight="1" x14ac:dyDescent="0.2">
      <c r="A66" s="992" t="s">
        <v>86</v>
      </c>
      <c r="B66" s="993"/>
      <c r="C66" s="993"/>
      <c r="D66" s="467">
        <v>1</v>
      </c>
      <c r="E66" s="467">
        <v>2</v>
      </c>
      <c r="F66" s="467">
        <v>3</v>
      </c>
      <c r="G66" s="467">
        <v>4</v>
      </c>
      <c r="H66" s="467">
        <v>5</v>
      </c>
      <c r="I66" s="467">
        <v>6</v>
      </c>
      <c r="J66" s="467">
        <v>7</v>
      </c>
      <c r="K66" s="425"/>
      <c r="L66" s="992" t="s">
        <v>86</v>
      </c>
      <c r="M66" s="993"/>
      <c r="N66" s="993"/>
      <c r="O66" s="445">
        <v>1</v>
      </c>
      <c r="P66" s="445">
        <v>2</v>
      </c>
      <c r="Q66" s="445">
        <v>3</v>
      </c>
      <c r="R66" s="445">
        <v>4</v>
      </c>
      <c r="S66" s="446">
        <v>5</v>
      </c>
      <c r="T66" s="497">
        <v>6</v>
      </c>
      <c r="U66" s="446">
        <v>7</v>
      </c>
    </row>
    <row r="67" spans="1:21" s="232" customFormat="1" ht="20.100000000000001" customHeight="1" x14ac:dyDescent="0.2">
      <c r="A67" s="500"/>
      <c r="B67" s="501"/>
      <c r="C67" s="501"/>
      <c r="D67" s="994" t="s">
        <v>92</v>
      </c>
      <c r="E67" s="995"/>
      <c r="F67" s="995"/>
      <c r="G67" s="995"/>
      <c r="H67" s="995"/>
      <c r="I67" s="995"/>
      <c r="J67" s="996"/>
      <c r="K67" s="425"/>
      <c r="L67" s="500"/>
      <c r="M67" s="501"/>
      <c r="N67" s="501"/>
      <c r="O67" s="994" t="s">
        <v>92</v>
      </c>
      <c r="P67" s="995"/>
      <c r="Q67" s="995"/>
      <c r="R67" s="995"/>
      <c r="S67" s="995"/>
      <c r="T67" s="995"/>
      <c r="U67" s="996"/>
    </row>
    <row r="68" spans="1:21" s="232" customFormat="1" ht="18.75" x14ac:dyDescent="0.2">
      <c r="A68" s="498" t="str">
        <f>IF(Tableau!$U$31="","",Tableau!$U$31)</f>
        <v/>
      </c>
      <c r="B68" s="231"/>
      <c r="C68" s="231"/>
      <c r="D68" s="447"/>
      <c r="E68" s="447"/>
      <c r="F68" s="447"/>
      <c r="G68" s="447"/>
      <c r="H68" s="447"/>
      <c r="I68" s="447"/>
      <c r="J68" s="447"/>
      <c r="K68" s="425"/>
      <c r="L68" s="498" t="str">
        <f>IF(Tableau!$U$35="","",Tableau!$U$35)</f>
        <v/>
      </c>
      <c r="M68" s="231"/>
      <c r="N68" s="231"/>
      <c r="O68" s="448"/>
      <c r="P68" s="448"/>
      <c r="Q68" s="448"/>
      <c r="R68" s="448"/>
      <c r="S68" s="448"/>
      <c r="T68" s="449"/>
      <c r="U68" s="448"/>
    </row>
    <row r="69" spans="1:21" s="232" customFormat="1" ht="20.100000000000001" customHeight="1" x14ac:dyDescent="0.2">
      <c r="A69" s="990" t="str">
        <f>IF(A68="","",VLOOKUP(A68,liste!$A$9:$G$145,2,FALSE))</f>
        <v/>
      </c>
      <c r="B69" s="991" t="s">
        <v>288</v>
      </c>
      <c r="C69" s="991" t="s">
        <v>288</v>
      </c>
      <c r="D69" s="447"/>
      <c r="E69" s="447"/>
      <c r="F69" s="447"/>
      <c r="G69" s="447"/>
      <c r="H69" s="447"/>
      <c r="I69" s="447"/>
      <c r="J69" s="447"/>
      <c r="K69" s="425"/>
      <c r="L69" s="990" t="str">
        <f>IF(L68="","",VLOOKUP(L68,liste!$A$9:$G$145,2,FALSE))</f>
        <v/>
      </c>
      <c r="M69" s="991" t="s">
        <v>288</v>
      </c>
      <c r="N69" s="991" t="s">
        <v>288</v>
      </c>
      <c r="O69" s="447"/>
      <c r="P69" s="447"/>
      <c r="Q69" s="447"/>
      <c r="R69" s="447"/>
      <c r="S69" s="447"/>
      <c r="T69" s="428"/>
      <c r="U69" s="447"/>
    </row>
    <row r="70" spans="1:21" s="232" customFormat="1" ht="20.100000000000001" customHeight="1" x14ac:dyDescent="0.2">
      <c r="A70" s="440"/>
      <c r="B70" s="438"/>
      <c r="C70" s="450" t="str">
        <f>IF(A68="","",VLOOKUP(A68,liste!$A$9:$G$145,4,FALSE))</f>
        <v/>
      </c>
      <c r="D70" s="451"/>
      <c r="E70" s="451"/>
      <c r="F70" s="451"/>
      <c r="G70" s="451"/>
      <c r="H70" s="451"/>
      <c r="I70" s="451"/>
      <c r="J70" s="451"/>
      <c r="K70" s="425"/>
      <c r="L70" s="440"/>
      <c r="M70" s="438"/>
      <c r="N70" s="450" t="str">
        <f>IF(L68="","",VLOOKUP(L68,liste!$A$9:$G$145,4,FALSE))</f>
        <v/>
      </c>
      <c r="O70" s="451"/>
      <c r="P70" s="451"/>
      <c r="Q70" s="451"/>
      <c r="R70" s="451"/>
      <c r="S70" s="451"/>
      <c r="T70" s="452"/>
      <c r="U70" s="451"/>
    </row>
    <row r="71" spans="1:21" s="232" customFormat="1" ht="15.75" x14ac:dyDescent="0.2">
      <c r="A71" s="453" t="str">
        <f>IF(A68="","",VLOOKUP(A68,liste!$A$9:$G$145,3,FALSE))</f>
        <v/>
      </c>
      <c r="B71" s="438"/>
      <c r="C71" s="438"/>
      <c r="D71" s="455"/>
      <c r="E71" s="455"/>
      <c r="F71" s="455"/>
      <c r="G71" s="455"/>
      <c r="H71" s="455"/>
      <c r="I71" s="455"/>
      <c r="J71" s="455"/>
      <c r="K71" s="425"/>
      <c r="L71" s="453" t="str">
        <f>IF(L68="","",VLOOKUP(L68,liste!$A$9:$G$145,3,FALSE))</f>
        <v/>
      </c>
      <c r="M71" s="438"/>
      <c r="N71" s="438"/>
      <c r="O71" s="454"/>
      <c r="P71" s="454"/>
      <c r="Q71" s="454"/>
      <c r="R71" s="454"/>
      <c r="S71" s="454"/>
      <c r="T71" s="456"/>
      <c r="U71" s="454"/>
    </row>
    <row r="72" spans="1:21" s="232" customFormat="1" ht="12.75" x14ac:dyDescent="0.2">
      <c r="A72" s="425"/>
      <c r="B72" s="230" t="s">
        <v>9</v>
      </c>
      <c r="C72" s="231"/>
      <c r="D72" s="458"/>
      <c r="E72" s="458"/>
      <c r="F72" s="458"/>
      <c r="G72" s="458"/>
      <c r="H72" s="458"/>
      <c r="I72" s="458"/>
      <c r="J72" s="458"/>
      <c r="K72" s="425"/>
      <c r="L72" s="425"/>
      <c r="M72" s="230" t="s">
        <v>9</v>
      </c>
      <c r="N72" s="231"/>
      <c r="O72" s="457"/>
      <c r="P72" s="457"/>
      <c r="Q72" s="457"/>
      <c r="R72" s="457"/>
      <c r="S72" s="457"/>
      <c r="T72" s="459"/>
      <c r="U72" s="457"/>
    </row>
    <row r="73" spans="1:21" s="232" customFormat="1" ht="18.75" x14ac:dyDescent="0.2">
      <c r="A73" s="498" t="str">
        <f>IF(Tableau!$U$33="","",Tableau!$U$33)</f>
        <v/>
      </c>
      <c r="B73" s="231"/>
      <c r="C73" s="231"/>
      <c r="D73" s="448"/>
      <c r="E73" s="448"/>
      <c r="F73" s="448"/>
      <c r="G73" s="448"/>
      <c r="H73" s="448"/>
      <c r="I73" s="448"/>
      <c r="J73" s="448"/>
      <c r="K73" s="425"/>
      <c r="L73" s="498" t="str">
        <f>IF(Tableau!$U$37="","",Tableau!$U$37)</f>
        <v/>
      </c>
      <c r="M73" s="231"/>
      <c r="N73" s="231"/>
      <c r="O73" s="448"/>
      <c r="P73" s="448"/>
      <c r="Q73" s="448"/>
      <c r="R73" s="448"/>
      <c r="S73" s="448"/>
      <c r="T73" s="449"/>
      <c r="U73" s="448"/>
    </row>
    <row r="74" spans="1:21" s="232" customFormat="1" ht="20.100000000000001" customHeight="1" x14ac:dyDescent="0.2">
      <c r="A74" s="990" t="str">
        <f>IF(A73="","",VLOOKUP(A73,liste!$A$9:$G$145,2,FALSE))</f>
        <v/>
      </c>
      <c r="B74" s="991" t="s">
        <v>288</v>
      </c>
      <c r="C74" s="991" t="s">
        <v>288</v>
      </c>
      <c r="D74" s="447"/>
      <c r="E74" s="447"/>
      <c r="F74" s="447"/>
      <c r="G74" s="447"/>
      <c r="H74" s="447"/>
      <c r="I74" s="447"/>
      <c r="J74" s="447"/>
      <c r="K74" s="425"/>
      <c r="L74" s="990" t="str">
        <f>IF(L73="","",VLOOKUP(L73,liste!$A$9:$G$145,2,FALSE))</f>
        <v/>
      </c>
      <c r="M74" s="991" t="s">
        <v>288</v>
      </c>
      <c r="N74" s="991" t="s">
        <v>288</v>
      </c>
      <c r="O74" s="447"/>
      <c r="P74" s="447"/>
      <c r="Q74" s="447"/>
      <c r="R74" s="447"/>
      <c r="S74" s="447"/>
      <c r="T74" s="428"/>
      <c r="U74" s="447"/>
    </row>
    <row r="75" spans="1:21" s="232" customFormat="1" ht="20.100000000000001" customHeight="1" x14ac:dyDescent="0.2">
      <c r="A75" s="440"/>
      <c r="B75" s="438"/>
      <c r="C75" s="450" t="str">
        <f>IF(A73="","",VLOOKUP(A73,liste!$A$9:$G$145,4,FALSE))</f>
        <v/>
      </c>
      <c r="D75" s="451"/>
      <c r="E75" s="451"/>
      <c r="F75" s="451"/>
      <c r="G75" s="451"/>
      <c r="H75" s="451"/>
      <c r="I75" s="451"/>
      <c r="J75" s="451"/>
      <c r="K75" s="425"/>
      <c r="L75" s="440"/>
      <c r="M75" s="438"/>
      <c r="N75" s="450" t="str">
        <f>IF(L73="","",VLOOKUP(L73,liste!$A$9:$G$145,4,FALSE))</f>
        <v/>
      </c>
      <c r="O75" s="451"/>
      <c r="P75" s="451"/>
      <c r="Q75" s="451"/>
      <c r="R75" s="451"/>
      <c r="S75" s="451"/>
      <c r="T75" s="452"/>
      <c r="U75" s="451"/>
    </row>
    <row r="76" spans="1:21" s="232" customFormat="1" ht="15.75" x14ac:dyDescent="0.2">
      <c r="A76" s="453" t="str">
        <f>IF(A73="","",VLOOKUP(A73,liste!$A$9:$G$145,3,FALSE))</f>
        <v/>
      </c>
      <c r="B76" s="438"/>
      <c r="C76" s="438"/>
      <c r="D76" s="455"/>
      <c r="E76" s="455"/>
      <c r="F76" s="455"/>
      <c r="G76" s="455"/>
      <c r="H76" s="455"/>
      <c r="I76" s="455"/>
      <c r="J76" s="455"/>
      <c r="K76" s="425"/>
      <c r="L76" s="453" t="str">
        <f>IF(L73="","",VLOOKUP(L73,liste!$A$9:$G$145,3,FALSE))</f>
        <v/>
      </c>
      <c r="M76" s="438"/>
      <c r="N76" s="438"/>
      <c r="O76" s="454"/>
      <c r="P76" s="454"/>
      <c r="Q76" s="454"/>
      <c r="R76" s="454"/>
      <c r="S76" s="454"/>
      <c r="T76" s="456"/>
      <c r="U76" s="454"/>
    </row>
    <row r="77" spans="1:21" s="232" customFormat="1" ht="12.75" x14ac:dyDescent="0.2">
      <c r="A77" s="425"/>
      <c r="B77" s="231"/>
      <c r="C77" s="231"/>
      <c r="D77" s="458"/>
      <c r="E77" s="458"/>
      <c r="F77" s="458"/>
      <c r="G77" s="458"/>
      <c r="H77" s="458"/>
      <c r="I77" s="458"/>
      <c r="J77" s="458"/>
      <c r="K77" s="425"/>
      <c r="L77" s="425"/>
      <c r="M77" s="231"/>
      <c r="N77" s="231"/>
      <c r="O77" s="457"/>
      <c r="P77" s="457"/>
      <c r="Q77" s="457"/>
      <c r="R77" s="457"/>
      <c r="S77" s="457"/>
      <c r="T77" s="459"/>
      <c r="U77" s="457"/>
    </row>
    <row r="78" spans="1:21" s="232" customFormat="1" ht="12.75" x14ac:dyDescent="0.2">
      <c r="A78" s="425"/>
      <c r="B78" s="231"/>
      <c r="C78" s="231"/>
      <c r="D78" s="231"/>
      <c r="E78" s="231"/>
      <c r="F78" s="231"/>
      <c r="G78" s="231"/>
      <c r="H78" s="231"/>
      <c r="I78" s="231"/>
      <c r="J78" s="428"/>
      <c r="K78" s="425"/>
      <c r="L78" s="425"/>
      <c r="M78" s="231"/>
      <c r="N78" s="231"/>
      <c r="O78" s="231"/>
      <c r="P78" s="231"/>
      <c r="Q78" s="231"/>
      <c r="R78" s="231"/>
      <c r="S78" s="231"/>
      <c r="T78" s="231"/>
      <c r="U78" s="428"/>
    </row>
    <row r="79" spans="1:21" s="232" customFormat="1" ht="20.100000000000001" customHeight="1" x14ac:dyDescent="0.2">
      <c r="A79" s="988" t="s">
        <v>90</v>
      </c>
      <c r="B79" s="989"/>
      <c r="C79" s="989"/>
      <c r="D79" s="461" t="s">
        <v>77</v>
      </c>
      <c r="E79" s="461" t="s">
        <v>87</v>
      </c>
      <c r="F79" s="461" t="s">
        <v>88</v>
      </c>
      <c r="G79" s="231"/>
      <c r="H79" s="231"/>
      <c r="I79" s="231"/>
      <c r="J79" s="428"/>
      <c r="K79" s="425"/>
      <c r="L79" s="988" t="s">
        <v>90</v>
      </c>
      <c r="M79" s="989"/>
      <c r="N79" s="989"/>
      <c r="O79" s="461" t="s">
        <v>77</v>
      </c>
      <c r="P79" s="461" t="s">
        <v>87</v>
      </c>
      <c r="Q79" s="461" t="s">
        <v>88</v>
      </c>
      <c r="R79" s="231"/>
      <c r="S79" s="231"/>
      <c r="T79" s="231"/>
      <c r="U79" s="428"/>
    </row>
    <row r="80" spans="1:21" s="232" customFormat="1" ht="20.100000000000001" customHeight="1" x14ac:dyDescent="0.2">
      <c r="A80" s="462" t="str">
        <f>A69</f>
        <v/>
      </c>
      <c r="B80" s="426"/>
      <c r="C80" s="449"/>
      <c r="D80" s="448"/>
      <c r="E80" s="448"/>
      <c r="F80" s="448"/>
      <c r="G80" s="231"/>
      <c r="H80" s="231"/>
      <c r="I80" s="231"/>
      <c r="J80" s="428"/>
      <c r="K80" s="425"/>
      <c r="L80" s="462" t="str">
        <f>L69</f>
        <v/>
      </c>
      <c r="M80" s="426"/>
      <c r="N80" s="449"/>
      <c r="O80" s="448"/>
      <c r="P80" s="448"/>
      <c r="Q80" s="448"/>
      <c r="R80" s="231"/>
      <c r="S80" s="231"/>
      <c r="T80" s="231"/>
      <c r="U80" s="428"/>
    </row>
    <row r="81" spans="1:21" s="232" customFormat="1" ht="20.100000000000001" customHeight="1" x14ac:dyDescent="0.2">
      <c r="A81" s="463"/>
      <c r="B81" s="233"/>
      <c r="C81" s="452"/>
      <c r="D81" s="451"/>
      <c r="E81" s="451"/>
      <c r="F81" s="451"/>
      <c r="G81" s="231"/>
      <c r="H81" s="231"/>
      <c r="I81" s="231"/>
      <c r="J81" s="428"/>
      <c r="K81" s="425"/>
      <c r="L81" s="463"/>
      <c r="M81" s="233"/>
      <c r="N81" s="452"/>
      <c r="O81" s="451"/>
      <c r="P81" s="451"/>
      <c r="Q81" s="451"/>
      <c r="R81" s="231"/>
      <c r="S81" s="231"/>
      <c r="T81" s="231"/>
      <c r="U81" s="428"/>
    </row>
    <row r="82" spans="1:21" s="232" customFormat="1" ht="20.100000000000001" customHeight="1" x14ac:dyDescent="0.2">
      <c r="A82" s="462" t="str">
        <f>A74</f>
        <v/>
      </c>
      <c r="B82" s="426"/>
      <c r="C82" s="449"/>
      <c r="D82" s="448"/>
      <c r="E82" s="448"/>
      <c r="F82" s="448"/>
      <c r="G82" s="231"/>
      <c r="H82" s="231"/>
      <c r="I82" s="231"/>
      <c r="J82" s="428"/>
      <c r="K82" s="425"/>
      <c r="L82" s="462" t="str">
        <f>L74</f>
        <v/>
      </c>
      <c r="M82" s="426"/>
      <c r="N82" s="449"/>
      <c r="O82" s="448"/>
      <c r="P82" s="448"/>
      <c r="Q82" s="448"/>
      <c r="R82" s="231"/>
      <c r="S82" s="231"/>
      <c r="T82" s="231"/>
      <c r="U82" s="428"/>
    </row>
    <row r="83" spans="1:21" s="232" customFormat="1" ht="20.100000000000001" customHeight="1" x14ac:dyDescent="0.2">
      <c r="A83" s="463"/>
      <c r="B83" s="233"/>
      <c r="C83" s="452"/>
      <c r="D83" s="451"/>
      <c r="E83" s="451"/>
      <c r="F83" s="451"/>
      <c r="G83" s="231"/>
      <c r="H83" s="231"/>
      <c r="I83" s="231"/>
      <c r="J83" s="428"/>
      <c r="K83" s="425"/>
      <c r="L83" s="463"/>
      <c r="M83" s="233"/>
      <c r="N83" s="452"/>
      <c r="O83" s="451"/>
      <c r="P83" s="451"/>
      <c r="Q83" s="451"/>
      <c r="R83" s="231"/>
      <c r="S83" s="231"/>
      <c r="T83" s="231"/>
      <c r="U83" s="428"/>
    </row>
    <row r="84" spans="1:21" s="232" customFormat="1" ht="12.75" x14ac:dyDescent="0.2">
      <c r="A84" s="464" t="s">
        <v>91</v>
      </c>
      <c r="B84" s="231"/>
      <c r="C84" s="231"/>
      <c r="D84" s="231"/>
      <c r="E84" s="231"/>
      <c r="F84" s="231"/>
      <c r="G84" s="231"/>
      <c r="H84" s="231"/>
      <c r="I84" s="231"/>
      <c r="J84" s="428"/>
      <c r="K84" s="425"/>
      <c r="L84" s="464" t="s">
        <v>91</v>
      </c>
      <c r="M84" s="231"/>
      <c r="N84" s="231"/>
      <c r="O84" s="231"/>
      <c r="P84" s="231"/>
      <c r="Q84" s="231"/>
      <c r="R84" s="231"/>
      <c r="S84" s="231"/>
      <c r="T84" s="231"/>
      <c r="U84" s="428"/>
    </row>
    <row r="85" spans="1:21" s="232" customFormat="1" ht="12.75" x14ac:dyDescent="0.2">
      <c r="A85" s="425"/>
      <c r="B85" s="231"/>
      <c r="C85" s="231"/>
      <c r="D85" s="231"/>
      <c r="E85" s="231"/>
      <c r="F85" s="231"/>
      <c r="G85" s="231"/>
      <c r="H85" s="231"/>
      <c r="I85" s="231"/>
      <c r="J85" s="428"/>
      <c r="K85" s="425"/>
      <c r="L85" s="425"/>
      <c r="M85" s="231"/>
      <c r="N85" s="231"/>
      <c r="O85" s="231"/>
      <c r="P85" s="231"/>
      <c r="Q85" s="231"/>
      <c r="R85" s="231"/>
      <c r="S85" s="231"/>
      <c r="T85" s="231"/>
      <c r="U85" s="428"/>
    </row>
    <row r="86" spans="1:21" s="232" customFormat="1" ht="12.75" x14ac:dyDescent="0.2">
      <c r="A86" s="465" t="s">
        <v>89</v>
      </c>
      <c r="B86" s="233"/>
      <c r="C86" s="233"/>
      <c r="D86" s="233"/>
      <c r="E86" s="233"/>
      <c r="F86" s="233"/>
      <c r="G86" s="233"/>
      <c r="H86" s="233"/>
      <c r="I86" s="233"/>
      <c r="J86" s="452"/>
      <c r="K86" s="425"/>
      <c r="L86" s="465" t="s">
        <v>89</v>
      </c>
      <c r="M86" s="233"/>
      <c r="N86" s="233"/>
      <c r="O86" s="233"/>
      <c r="P86" s="233"/>
      <c r="Q86" s="233"/>
      <c r="R86" s="233"/>
      <c r="S86" s="233"/>
      <c r="T86" s="233"/>
      <c r="U86" s="452"/>
    </row>
    <row r="87" spans="1:21" s="232" customFormat="1" ht="30" customHeight="1" x14ac:dyDescent="0.2">
      <c r="L87" s="231"/>
      <c r="M87" s="231"/>
      <c r="N87" s="231"/>
      <c r="O87" s="231"/>
      <c r="P87" s="231"/>
      <c r="Q87" s="231"/>
      <c r="R87" s="231"/>
      <c r="S87" s="426"/>
      <c r="T87" s="231"/>
      <c r="U87" s="428"/>
    </row>
    <row r="88" spans="1:21" s="232" customFormat="1" ht="30" customHeight="1" x14ac:dyDescent="0.2">
      <c r="L88" s="231"/>
      <c r="M88" s="231"/>
      <c r="N88" s="231"/>
      <c r="O88" s="231"/>
      <c r="P88" s="231"/>
      <c r="Q88" s="231"/>
      <c r="R88" s="231"/>
      <c r="S88" s="231"/>
      <c r="T88" s="231"/>
      <c r="U88" s="428"/>
    </row>
    <row r="89" spans="1:21" s="232" customFormat="1" ht="20.100000000000001" customHeight="1" x14ac:dyDescent="0.2">
      <c r="A89" s="1005" t="str">
        <f>$A$1</f>
        <v>Circuit décathlon</v>
      </c>
      <c r="B89" s="1006"/>
      <c r="C89" s="1006"/>
      <c r="D89" s="1006"/>
      <c r="E89" s="1006"/>
      <c r="F89" s="1006"/>
      <c r="G89" s="1006"/>
      <c r="H89" s="1006"/>
      <c r="I89" s="1006"/>
      <c r="J89" s="1007"/>
      <c r="K89" s="425"/>
      <c r="L89" s="1005" t="str">
        <f>$A$1</f>
        <v>Circuit décathlon</v>
      </c>
      <c r="M89" s="1006"/>
      <c r="N89" s="1006"/>
      <c r="O89" s="1006"/>
      <c r="P89" s="1006"/>
      <c r="Q89" s="1006"/>
      <c r="R89" s="1006"/>
      <c r="S89" s="1006"/>
      <c r="T89" s="426"/>
      <c r="U89" s="449"/>
    </row>
    <row r="90" spans="1:21" s="232" customFormat="1" ht="15.75" x14ac:dyDescent="0.2">
      <c r="A90" s="425"/>
      <c r="B90" s="231"/>
      <c r="C90" s="231"/>
      <c r="D90" s="427" t="s">
        <v>83</v>
      </c>
      <c r="E90" s="1008">
        <f>Rens!B24</f>
        <v>0</v>
      </c>
      <c r="F90" s="1008"/>
      <c r="G90" s="231"/>
      <c r="H90" s="231"/>
      <c r="I90" s="231"/>
      <c r="J90" s="428"/>
      <c r="K90" s="425"/>
      <c r="L90" s="425"/>
      <c r="M90" s="231"/>
      <c r="N90" s="231"/>
      <c r="O90" s="427" t="s">
        <v>83</v>
      </c>
      <c r="P90" s="1008">
        <f>Rens!B25</f>
        <v>0</v>
      </c>
      <c r="Q90" s="1008"/>
      <c r="R90" s="231"/>
      <c r="S90" s="231"/>
      <c r="T90" s="231"/>
      <c r="U90" s="428"/>
    </row>
    <row r="91" spans="1:21" s="232" customFormat="1" ht="18.75" x14ac:dyDescent="0.2">
      <c r="A91" s="429" t="s">
        <v>84</v>
      </c>
      <c r="B91" s="430" t="str">
        <f>$B$3</f>
        <v>Minimes</v>
      </c>
      <c r="C91" s="231"/>
      <c r="D91" s="231"/>
      <c r="E91" s="231"/>
      <c r="F91" s="231"/>
      <c r="G91" s="231"/>
      <c r="H91" s="231"/>
      <c r="I91" s="231"/>
      <c r="J91" s="428"/>
      <c r="K91" s="425"/>
      <c r="L91" s="429" t="s">
        <v>84</v>
      </c>
      <c r="M91" s="430" t="str">
        <f>$B$3</f>
        <v>Minimes</v>
      </c>
      <c r="N91" s="231"/>
      <c r="O91" s="231"/>
      <c r="P91" s="231"/>
      <c r="Q91" s="231"/>
      <c r="R91" s="231"/>
      <c r="S91" s="231"/>
      <c r="T91" s="231"/>
      <c r="U91" s="428"/>
    </row>
    <row r="92" spans="1:21" s="232" customFormat="1" ht="18.75" x14ac:dyDescent="0.2">
      <c r="A92" s="997" t="str">
        <f>$A$4</f>
        <v>Barrages 2ème/3ème</v>
      </c>
      <c r="B92" s="998"/>
      <c r="C92" s="998"/>
      <c r="D92" s="998"/>
      <c r="E92" s="231"/>
      <c r="F92" s="231"/>
      <c r="G92" s="499" t="str">
        <f>Rens!A24</f>
        <v>23 - 10</v>
      </c>
      <c r="H92" s="231"/>
      <c r="I92" s="231"/>
      <c r="J92" s="428"/>
      <c r="K92" s="425"/>
      <c r="L92" s="997" t="str">
        <f>$A$4</f>
        <v>Barrages 2ème/3ème</v>
      </c>
      <c r="M92" s="998"/>
      <c r="N92" s="998"/>
      <c r="O92" s="998"/>
      <c r="P92" s="231"/>
      <c r="Q92" s="231"/>
      <c r="R92" s="499" t="str">
        <f>Rens!A25</f>
        <v>15 - 18</v>
      </c>
      <c r="S92" s="231"/>
      <c r="T92" s="499"/>
      <c r="U92" s="428"/>
    </row>
    <row r="93" spans="1:21" s="343" customFormat="1" ht="23.25" x14ac:dyDescent="0.2">
      <c r="A93" s="432"/>
      <c r="B93" s="434" t="str">
        <f>Tableau!AB18</f>
        <v/>
      </c>
      <c r="C93" s="345"/>
      <c r="D93" s="345"/>
      <c r="E93" s="344" t="s">
        <v>178</v>
      </c>
      <c r="F93" s="234">
        <f>Rens!C24</f>
        <v>0</v>
      </c>
      <c r="G93" s="345"/>
      <c r="H93" s="345"/>
      <c r="I93" s="345"/>
      <c r="J93" s="431"/>
      <c r="K93" s="432"/>
      <c r="L93" s="432"/>
      <c r="M93" s="434" t="str">
        <f>Tableau!AB10</f>
        <v/>
      </c>
      <c r="N93" s="345"/>
      <c r="O93" s="345"/>
      <c r="P93" s="344" t="s">
        <v>178</v>
      </c>
      <c r="Q93" s="234">
        <f>Rens!C25</f>
        <v>0</v>
      </c>
      <c r="R93" s="345"/>
      <c r="S93" s="345"/>
      <c r="T93" s="345"/>
      <c r="U93" s="431"/>
    </row>
    <row r="94" spans="1:21" s="232" customFormat="1" ht="15.75" x14ac:dyDescent="0.2">
      <c r="A94" s="470" t="s">
        <v>85</v>
      </c>
      <c r="B94" s="436" t="str">
        <f>IF(B93="","",VLOOKUP(B93,liste!$A$9:$G$145,2,FALSE))</f>
        <v/>
      </c>
      <c r="C94" s="471"/>
      <c r="D94" s="471"/>
      <c r="E94" s="471"/>
      <c r="F94" s="471"/>
      <c r="G94" s="471"/>
      <c r="H94" s="471"/>
      <c r="I94" s="231"/>
      <c r="J94" s="428"/>
      <c r="K94" s="425"/>
      <c r="L94" s="470" t="s">
        <v>85</v>
      </c>
      <c r="M94" s="436" t="str">
        <f>IF(M93="","",VLOOKUP(M93,liste!$A$9:$G$145,2,FALSE))</f>
        <v/>
      </c>
      <c r="N94" s="471"/>
      <c r="O94" s="471"/>
      <c r="P94" s="471"/>
      <c r="Q94" s="471"/>
      <c r="R94" s="471"/>
      <c r="S94" s="471"/>
      <c r="T94" s="471"/>
      <c r="U94" s="472"/>
    </row>
    <row r="95" spans="1:21" s="232" customFormat="1" ht="20.100000000000001" customHeight="1" x14ac:dyDescent="0.2">
      <c r="A95" s="425"/>
      <c r="D95" s="999" t="s">
        <v>19</v>
      </c>
      <c r="E95" s="1000"/>
      <c r="F95" s="1000"/>
      <c r="G95" s="1000"/>
      <c r="H95" s="1000"/>
      <c r="I95" s="1000"/>
      <c r="J95" s="1001"/>
      <c r="K95" s="425"/>
      <c r="L95" s="443"/>
      <c r="M95" s="444"/>
      <c r="N95" s="444"/>
      <c r="O95" s="1002" t="s">
        <v>19</v>
      </c>
      <c r="P95" s="1003"/>
      <c r="Q95" s="1003"/>
      <c r="R95" s="1003"/>
      <c r="S95" s="1003"/>
      <c r="T95" s="1003"/>
      <c r="U95" s="1004"/>
    </row>
    <row r="96" spans="1:21" s="232" customFormat="1" ht="20.100000000000001" customHeight="1" x14ac:dyDescent="0.2">
      <c r="A96" s="992" t="s">
        <v>86</v>
      </c>
      <c r="B96" s="993"/>
      <c r="C96" s="993"/>
      <c r="D96" s="467">
        <v>1</v>
      </c>
      <c r="E96" s="467">
        <v>2</v>
      </c>
      <c r="F96" s="467">
        <v>3</v>
      </c>
      <c r="G96" s="467">
        <v>4</v>
      </c>
      <c r="H96" s="467">
        <v>5</v>
      </c>
      <c r="I96" s="467">
        <v>6</v>
      </c>
      <c r="J96" s="467">
        <v>7</v>
      </c>
      <c r="K96" s="425"/>
      <c r="L96" s="992" t="s">
        <v>86</v>
      </c>
      <c r="M96" s="993"/>
      <c r="N96" s="993"/>
      <c r="O96" s="445">
        <v>1</v>
      </c>
      <c r="P96" s="445">
        <v>2</v>
      </c>
      <c r="Q96" s="445">
        <v>3</v>
      </c>
      <c r="R96" s="445">
        <v>4</v>
      </c>
      <c r="S96" s="446">
        <v>5</v>
      </c>
      <c r="T96" s="497">
        <v>6</v>
      </c>
      <c r="U96" s="446">
        <v>7</v>
      </c>
    </row>
    <row r="97" spans="1:21" s="232" customFormat="1" ht="20.100000000000001" customHeight="1" x14ac:dyDescent="0.2">
      <c r="A97" s="500"/>
      <c r="B97" s="501"/>
      <c r="C97" s="501"/>
      <c r="D97" s="994" t="s">
        <v>92</v>
      </c>
      <c r="E97" s="995"/>
      <c r="F97" s="995"/>
      <c r="G97" s="995"/>
      <c r="H97" s="995"/>
      <c r="I97" s="995"/>
      <c r="J97" s="996"/>
      <c r="K97" s="425"/>
      <c r="L97" s="500"/>
      <c r="M97" s="501"/>
      <c r="N97" s="501"/>
      <c r="O97" s="994" t="s">
        <v>92</v>
      </c>
      <c r="P97" s="995"/>
      <c r="Q97" s="995"/>
      <c r="R97" s="995"/>
      <c r="S97" s="995"/>
      <c r="T97" s="995"/>
      <c r="U97" s="996"/>
    </row>
    <row r="98" spans="1:21" s="232" customFormat="1" ht="18.75" x14ac:dyDescent="0.2">
      <c r="A98" s="498" t="str">
        <f>IF(Tableau!$U$41="","",Tableau!$U$41)</f>
        <v/>
      </c>
      <c r="C98" s="231"/>
      <c r="D98" s="448"/>
      <c r="E98" s="448"/>
      <c r="F98" s="448"/>
      <c r="G98" s="448"/>
      <c r="H98" s="448"/>
      <c r="I98" s="448"/>
      <c r="J98" s="448"/>
      <c r="K98" s="425"/>
      <c r="L98" s="498" t="str">
        <f>IF(Tableau!$U$45="","",Tableau!$U$45)</f>
        <v/>
      </c>
      <c r="M98" s="231"/>
      <c r="N98" s="231"/>
      <c r="O98" s="448"/>
      <c r="P98" s="448"/>
      <c r="Q98" s="448"/>
      <c r="R98" s="448"/>
      <c r="S98" s="448"/>
      <c r="T98" s="449"/>
      <c r="U98" s="448"/>
    </row>
    <row r="99" spans="1:21" s="232" customFormat="1" ht="20.100000000000001" customHeight="1" x14ac:dyDescent="0.2">
      <c r="A99" s="990" t="str">
        <f>IF(A98="","",VLOOKUP(A98,liste!$A$9:$G$145,2,FALSE))</f>
        <v/>
      </c>
      <c r="B99" s="991" t="s">
        <v>288</v>
      </c>
      <c r="C99" s="991" t="s">
        <v>288</v>
      </c>
      <c r="D99" s="447"/>
      <c r="E99" s="447"/>
      <c r="F99" s="447"/>
      <c r="G99" s="447"/>
      <c r="H99" s="447"/>
      <c r="I99" s="447"/>
      <c r="J99" s="447"/>
      <c r="K99" s="425"/>
      <c r="L99" s="990" t="str">
        <f>IF(L98="","",VLOOKUP(L98,liste!$A$9:$G$145,2,FALSE))</f>
        <v/>
      </c>
      <c r="M99" s="991" t="s">
        <v>288</v>
      </c>
      <c r="N99" s="991" t="s">
        <v>288</v>
      </c>
      <c r="O99" s="447"/>
      <c r="P99" s="447"/>
      <c r="Q99" s="447"/>
      <c r="R99" s="447"/>
      <c r="S99" s="447"/>
      <c r="T99" s="428"/>
      <c r="U99" s="447"/>
    </row>
    <row r="100" spans="1:21" s="232" customFormat="1" ht="20.100000000000001" customHeight="1" x14ac:dyDescent="0.2">
      <c r="A100" s="440"/>
      <c r="B100" s="438"/>
      <c r="C100" s="450" t="str">
        <f>IF(A98="","",VLOOKUP(A98,liste!$A$9:$G$145,4,FALSE))</f>
        <v/>
      </c>
      <c r="D100" s="451"/>
      <c r="E100" s="451"/>
      <c r="F100" s="451"/>
      <c r="G100" s="451"/>
      <c r="H100" s="451"/>
      <c r="I100" s="451"/>
      <c r="J100" s="451"/>
      <c r="K100" s="425"/>
      <c r="L100" s="440"/>
      <c r="M100" s="438"/>
      <c r="N100" s="450" t="str">
        <f>IF(L98="","",VLOOKUP(L98,liste!$A$9:$G$145,4,FALSE))</f>
        <v/>
      </c>
      <c r="O100" s="451"/>
      <c r="P100" s="451"/>
      <c r="Q100" s="451"/>
      <c r="R100" s="451"/>
      <c r="S100" s="451"/>
      <c r="T100" s="452"/>
      <c r="U100" s="451"/>
    </row>
    <row r="101" spans="1:21" s="232" customFormat="1" ht="15.75" x14ac:dyDescent="0.2">
      <c r="A101" s="468" t="str">
        <f>IF(A98="","",VLOOKUP(A98,liste!$A$9:$G$145,3,FALSE))</f>
        <v/>
      </c>
      <c r="B101" s="438"/>
      <c r="C101" s="438"/>
      <c r="D101" s="455"/>
      <c r="E101" s="455"/>
      <c r="F101" s="455"/>
      <c r="G101" s="455"/>
      <c r="H101" s="455"/>
      <c r="I101" s="455"/>
      <c r="J101" s="455"/>
      <c r="K101" s="425"/>
      <c r="L101" s="468" t="str">
        <f>IF(L98="","",VLOOKUP(L98,liste!$A$9:$G$145,3,FALSE))</f>
        <v/>
      </c>
      <c r="M101" s="438"/>
      <c r="N101" s="438"/>
      <c r="O101" s="454"/>
      <c r="P101" s="454"/>
      <c r="Q101" s="454"/>
      <c r="R101" s="454"/>
      <c r="S101" s="454"/>
      <c r="T101" s="456"/>
      <c r="U101" s="454"/>
    </row>
    <row r="102" spans="1:21" s="232" customFormat="1" ht="12.75" x14ac:dyDescent="0.2">
      <c r="A102" s="425"/>
      <c r="B102" s="230" t="s">
        <v>9</v>
      </c>
      <c r="C102" s="231"/>
      <c r="D102" s="458"/>
      <c r="E102" s="458"/>
      <c r="F102" s="458"/>
      <c r="G102" s="458"/>
      <c r="H102" s="458"/>
      <c r="I102" s="458"/>
      <c r="J102" s="458"/>
      <c r="K102" s="425"/>
      <c r="L102" s="425"/>
      <c r="M102" s="230" t="s">
        <v>9</v>
      </c>
      <c r="N102" s="231"/>
      <c r="O102" s="457"/>
      <c r="P102" s="457"/>
      <c r="Q102" s="457"/>
      <c r="R102" s="457"/>
      <c r="S102" s="457"/>
      <c r="T102" s="459"/>
      <c r="U102" s="457"/>
    </row>
    <row r="103" spans="1:21" s="232" customFormat="1" ht="18.75" x14ac:dyDescent="0.2">
      <c r="A103" s="498" t="str">
        <f>IF(Tableau!$U$43="","",Tableau!$U$43)</f>
        <v/>
      </c>
      <c r="B103" s="469"/>
      <c r="C103" s="231"/>
      <c r="D103" s="448"/>
      <c r="E103" s="448"/>
      <c r="F103" s="448"/>
      <c r="G103" s="448"/>
      <c r="H103" s="448"/>
      <c r="I103" s="448"/>
      <c r="J103" s="448"/>
      <c r="K103" s="425"/>
      <c r="L103" s="498" t="str">
        <f>IF(Tableau!$U$47="","",Tableau!$U$47)</f>
        <v/>
      </c>
      <c r="M103" s="231"/>
      <c r="N103" s="231"/>
      <c r="O103" s="448"/>
      <c r="P103" s="448"/>
      <c r="Q103" s="448"/>
      <c r="R103" s="448"/>
      <c r="S103" s="448"/>
      <c r="T103" s="449"/>
      <c r="U103" s="448"/>
    </row>
    <row r="104" spans="1:21" s="232" customFormat="1" ht="20.100000000000001" customHeight="1" x14ac:dyDescent="0.2">
      <c r="A104" s="990" t="str">
        <f>IF(A103="","",VLOOKUP(A103,liste!$A$9:$G$145,2,FALSE))</f>
        <v/>
      </c>
      <c r="B104" s="991" t="s">
        <v>288</v>
      </c>
      <c r="C104" s="991" t="s">
        <v>288</v>
      </c>
      <c r="D104" s="447"/>
      <c r="E104" s="447"/>
      <c r="F104" s="447"/>
      <c r="G104" s="447"/>
      <c r="H104" s="447"/>
      <c r="I104" s="447"/>
      <c r="J104" s="447"/>
      <c r="K104" s="425"/>
      <c r="L104" s="990" t="str">
        <f>IF(L103="","",VLOOKUP(L103,liste!$A$9:$G$145,2,FALSE))</f>
        <v/>
      </c>
      <c r="M104" s="991" t="s">
        <v>288</v>
      </c>
      <c r="N104" s="991" t="s">
        <v>288</v>
      </c>
      <c r="O104" s="447"/>
      <c r="P104" s="447"/>
      <c r="Q104" s="447"/>
      <c r="R104" s="447"/>
      <c r="S104" s="447"/>
      <c r="T104" s="428"/>
      <c r="U104" s="447"/>
    </row>
    <row r="105" spans="1:21" s="232" customFormat="1" ht="20.100000000000001" customHeight="1" x14ac:dyDescent="0.2">
      <c r="A105" s="440"/>
      <c r="B105" s="438"/>
      <c r="C105" s="450" t="str">
        <f>IF(A103="","",VLOOKUP(A103,liste!$A$9:$G$145,4,FALSE))</f>
        <v/>
      </c>
      <c r="D105" s="451"/>
      <c r="E105" s="451"/>
      <c r="F105" s="451"/>
      <c r="G105" s="451"/>
      <c r="H105" s="451"/>
      <c r="I105" s="451"/>
      <c r="J105" s="451"/>
      <c r="K105" s="425"/>
      <c r="L105" s="440"/>
      <c r="M105" s="438"/>
      <c r="N105" s="450" t="str">
        <f>IF(L103="","",VLOOKUP(L103,liste!$A$9:$G$145,4,FALSE))</f>
        <v/>
      </c>
      <c r="O105" s="451"/>
      <c r="P105" s="451"/>
      <c r="Q105" s="451"/>
      <c r="R105" s="451"/>
      <c r="S105" s="451"/>
      <c r="T105" s="452"/>
      <c r="U105" s="451"/>
    </row>
    <row r="106" spans="1:21" s="232" customFormat="1" ht="15.75" x14ac:dyDescent="0.2">
      <c r="A106" s="473" t="str">
        <f>IF(A103="","",VLOOKUP(A103,liste!$A$9:$G$145,3,FALSE))</f>
        <v/>
      </c>
      <c r="B106" s="438"/>
      <c r="C106" s="438"/>
      <c r="D106" s="455"/>
      <c r="E106" s="455"/>
      <c r="F106" s="455"/>
      <c r="G106" s="455"/>
      <c r="H106" s="455"/>
      <c r="I106" s="455"/>
      <c r="J106" s="455"/>
      <c r="K106" s="425"/>
      <c r="L106" s="468" t="str">
        <f>IF(L103="","",VLOOKUP(L103,liste!$A$9:$G$145,3,FALSE))</f>
        <v/>
      </c>
      <c r="M106" s="438"/>
      <c r="N106" s="438"/>
      <c r="O106" s="454"/>
      <c r="P106" s="454"/>
      <c r="Q106" s="454"/>
      <c r="R106" s="454"/>
      <c r="S106" s="454"/>
      <c r="T106" s="456"/>
      <c r="U106" s="454"/>
    </row>
    <row r="107" spans="1:21" s="232" customFormat="1" ht="12.75" x14ac:dyDescent="0.2">
      <c r="A107" s="425"/>
      <c r="B107" s="231"/>
      <c r="C107" s="231"/>
      <c r="D107" s="458"/>
      <c r="E107" s="458"/>
      <c r="F107" s="458"/>
      <c r="G107" s="458"/>
      <c r="H107" s="458"/>
      <c r="I107" s="458"/>
      <c r="J107" s="458"/>
      <c r="K107" s="425"/>
      <c r="L107" s="425"/>
      <c r="M107" s="231"/>
      <c r="N107" s="231"/>
      <c r="O107" s="457"/>
      <c r="P107" s="457"/>
      <c r="Q107" s="457"/>
      <c r="R107" s="457"/>
      <c r="S107" s="457"/>
      <c r="T107" s="459"/>
      <c r="U107" s="457"/>
    </row>
    <row r="108" spans="1:21" s="232" customFormat="1" ht="12.75" x14ac:dyDescent="0.2">
      <c r="A108" s="425"/>
      <c r="B108" s="231"/>
      <c r="C108" s="231"/>
      <c r="D108" s="231"/>
      <c r="E108" s="231"/>
      <c r="F108" s="231"/>
      <c r="G108" s="231"/>
      <c r="H108" s="231"/>
      <c r="I108" s="231"/>
      <c r="J108" s="428"/>
      <c r="K108" s="425"/>
      <c r="L108" s="425"/>
      <c r="M108" s="231"/>
      <c r="N108" s="231"/>
      <c r="O108" s="231"/>
      <c r="P108" s="231"/>
      <c r="Q108" s="231"/>
      <c r="R108" s="231"/>
      <c r="S108" s="426"/>
      <c r="T108" s="231"/>
      <c r="U108" s="428"/>
    </row>
    <row r="109" spans="1:21" s="232" customFormat="1" ht="20.100000000000001" customHeight="1" x14ac:dyDescent="0.2">
      <c r="A109" s="988" t="s">
        <v>90</v>
      </c>
      <c r="B109" s="989"/>
      <c r="C109" s="989"/>
      <c r="D109" s="461" t="s">
        <v>77</v>
      </c>
      <c r="E109" s="461" t="s">
        <v>87</v>
      </c>
      <c r="F109" s="461" t="s">
        <v>88</v>
      </c>
      <c r="G109" s="231"/>
      <c r="H109" s="231"/>
      <c r="I109" s="231"/>
      <c r="J109" s="428"/>
      <c r="K109" s="425"/>
      <c r="L109" s="988" t="s">
        <v>90</v>
      </c>
      <c r="M109" s="989"/>
      <c r="N109" s="989"/>
      <c r="O109" s="461" t="s">
        <v>77</v>
      </c>
      <c r="P109" s="461" t="s">
        <v>87</v>
      </c>
      <c r="Q109" s="461" t="s">
        <v>88</v>
      </c>
      <c r="R109" s="231"/>
      <c r="S109" s="231"/>
      <c r="T109" s="231"/>
      <c r="U109" s="428"/>
    </row>
    <row r="110" spans="1:21" s="232" customFormat="1" ht="20.100000000000001" customHeight="1" x14ac:dyDescent="0.2">
      <c r="A110" s="462" t="str">
        <f>A99</f>
        <v/>
      </c>
      <c r="B110" s="426"/>
      <c r="C110" s="449"/>
      <c r="D110" s="448"/>
      <c r="E110" s="448"/>
      <c r="F110" s="448"/>
      <c r="G110" s="231"/>
      <c r="H110" s="231"/>
      <c r="I110" s="231"/>
      <c r="J110" s="428"/>
      <c r="K110" s="425"/>
      <c r="L110" s="462" t="str">
        <f>L99</f>
        <v/>
      </c>
      <c r="M110" s="426"/>
      <c r="N110" s="449"/>
      <c r="O110" s="448"/>
      <c r="P110" s="448"/>
      <c r="Q110" s="448"/>
      <c r="R110" s="231"/>
      <c r="S110" s="231"/>
      <c r="T110" s="231"/>
      <c r="U110" s="428"/>
    </row>
    <row r="111" spans="1:21" s="232" customFormat="1" ht="20.100000000000001" customHeight="1" x14ac:dyDescent="0.2">
      <c r="A111" s="463"/>
      <c r="B111" s="233"/>
      <c r="C111" s="452"/>
      <c r="D111" s="451"/>
      <c r="E111" s="451"/>
      <c r="F111" s="451"/>
      <c r="G111" s="231"/>
      <c r="H111" s="231"/>
      <c r="I111" s="231"/>
      <c r="J111" s="428"/>
      <c r="K111" s="425"/>
      <c r="L111" s="463"/>
      <c r="M111" s="233"/>
      <c r="N111" s="452"/>
      <c r="O111" s="451"/>
      <c r="P111" s="451"/>
      <c r="Q111" s="451"/>
      <c r="R111" s="231"/>
      <c r="S111" s="231"/>
      <c r="T111" s="231"/>
      <c r="U111" s="428"/>
    </row>
    <row r="112" spans="1:21" s="232" customFormat="1" ht="20.100000000000001" customHeight="1" x14ac:dyDescent="0.2">
      <c r="A112" s="462" t="str">
        <f>A104</f>
        <v/>
      </c>
      <c r="B112" s="426"/>
      <c r="C112" s="449"/>
      <c r="D112" s="448"/>
      <c r="E112" s="448"/>
      <c r="F112" s="448"/>
      <c r="G112" s="231"/>
      <c r="H112" s="231"/>
      <c r="I112" s="231"/>
      <c r="J112" s="428"/>
      <c r="K112" s="425"/>
      <c r="L112" s="462" t="str">
        <f>L104</f>
        <v/>
      </c>
      <c r="M112" s="426"/>
      <c r="N112" s="449"/>
      <c r="O112" s="448"/>
      <c r="P112" s="448"/>
      <c r="Q112" s="448"/>
      <c r="R112" s="231"/>
      <c r="S112" s="231"/>
      <c r="T112" s="231"/>
      <c r="U112" s="428"/>
    </row>
    <row r="113" spans="1:21" s="232" customFormat="1" ht="20.100000000000001" customHeight="1" x14ac:dyDescent="0.2">
      <c r="A113" s="463"/>
      <c r="B113" s="233"/>
      <c r="C113" s="452"/>
      <c r="D113" s="451"/>
      <c r="E113" s="451"/>
      <c r="F113" s="451"/>
      <c r="G113" s="231"/>
      <c r="H113" s="231"/>
      <c r="I113" s="231"/>
      <c r="J113" s="428"/>
      <c r="K113" s="425"/>
      <c r="L113" s="463"/>
      <c r="M113" s="233"/>
      <c r="N113" s="452"/>
      <c r="O113" s="451"/>
      <c r="P113" s="451"/>
      <c r="Q113" s="451"/>
      <c r="R113" s="231"/>
      <c r="S113" s="231"/>
      <c r="T113" s="231"/>
      <c r="U113" s="428"/>
    </row>
    <row r="114" spans="1:21" s="232" customFormat="1" ht="12.75" x14ac:dyDescent="0.2">
      <c r="A114" s="464" t="s">
        <v>91</v>
      </c>
      <c r="B114" s="231"/>
      <c r="C114" s="231"/>
      <c r="D114" s="231"/>
      <c r="E114" s="231"/>
      <c r="F114" s="231"/>
      <c r="G114" s="231"/>
      <c r="H114" s="231"/>
      <c r="I114" s="231"/>
      <c r="J114" s="428"/>
      <c r="K114" s="425"/>
      <c r="L114" s="464" t="s">
        <v>91</v>
      </c>
      <c r="M114" s="231"/>
      <c r="N114" s="231"/>
      <c r="O114" s="231"/>
      <c r="P114" s="231"/>
      <c r="Q114" s="231"/>
      <c r="R114" s="231"/>
      <c r="S114" s="231"/>
      <c r="T114" s="231"/>
      <c r="U114" s="428"/>
    </row>
    <row r="115" spans="1:21" s="232" customFormat="1" ht="12.75" x14ac:dyDescent="0.2">
      <c r="A115" s="425"/>
      <c r="B115" s="231"/>
      <c r="C115" s="231"/>
      <c r="D115" s="231"/>
      <c r="E115" s="231"/>
      <c r="F115" s="231"/>
      <c r="G115" s="231"/>
      <c r="H115" s="231"/>
      <c r="I115" s="231"/>
      <c r="J115" s="428"/>
      <c r="K115" s="425"/>
      <c r="L115" s="425"/>
      <c r="M115" s="231"/>
      <c r="N115" s="231"/>
      <c r="O115" s="231"/>
      <c r="P115" s="231"/>
      <c r="Q115" s="231"/>
      <c r="R115" s="231"/>
      <c r="S115" s="231"/>
      <c r="T115" s="231"/>
      <c r="U115" s="428"/>
    </row>
    <row r="116" spans="1:21" s="232" customFormat="1" ht="12.75" x14ac:dyDescent="0.2">
      <c r="A116" s="465" t="s">
        <v>89</v>
      </c>
      <c r="B116" s="233"/>
      <c r="C116" s="233"/>
      <c r="D116" s="233"/>
      <c r="E116" s="233"/>
      <c r="F116" s="233"/>
      <c r="G116" s="233"/>
      <c r="H116" s="233"/>
      <c r="I116" s="233"/>
      <c r="J116" s="452"/>
      <c r="K116" s="425"/>
      <c r="L116" s="465" t="s">
        <v>89</v>
      </c>
      <c r="M116" s="233"/>
      <c r="N116" s="233"/>
      <c r="O116" s="233"/>
      <c r="P116" s="233"/>
      <c r="Q116" s="233"/>
      <c r="R116" s="233"/>
      <c r="S116" s="233"/>
      <c r="T116" s="233"/>
      <c r="U116" s="452"/>
    </row>
    <row r="117" spans="1:21" s="232" customFormat="1" ht="20.100000000000001" customHeight="1" x14ac:dyDescent="0.2">
      <c r="A117" s="1005" t="str">
        <f>$A$1</f>
        <v>Circuit décathlon</v>
      </c>
      <c r="B117" s="1006"/>
      <c r="C117" s="1006"/>
      <c r="D117" s="1006"/>
      <c r="E117" s="1006"/>
      <c r="F117" s="1006"/>
      <c r="G117" s="1006"/>
      <c r="H117" s="1006"/>
      <c r="I117" s="1006"/>
      <c r="J117" s="1007"/>
      <c r="K117" s="425"/>
      <c r="L117" s="1005" t="str">
        <f>$A$1</f>
        <v>Circuit décathlon</v>
      </c>
      <c r="M117" s="1006"/>
      <c r="N117" s="1006"/>
      <c r="O117" s="1006"/>
      <c r="P117" s="1006"/>
      <c r="Q117" s="1006"/>
      <c r="R117" s="1006"/>
      <c r="S117" s="1006"/>
      <c r="T117" s="426"/>
      <c r="U117" s="449"/>
    </row>
    <row r="118" spans="1:21" s="232" customFormat="1" ht="15.75" x14ac:dyDescent="0.2">
      <c r="A118" s="425"/>
      <c r="B118" s="231"/>
      <c r="C118" s="231"/>
      <c r="D118" s="427" t="s">
        <v>83</v>
      </c>
      <c r="E118" s="474">
        <f>Rens!F18</f>
        <v>0</v>
      </c>
      <c r="F118" s="231"/>
      <c r="G118" s="231"/>
      <c r="H118" s="231"/>
      <c r="I118" s="231"/>
      <c r="J118" s="428"/>
      <c r="K118" s="425"/>
      <c r="L118" s="425"/>
      <c r="M118" s="231"/>
      <c r="N118" s="231"/>
      <c r="O118" s="427" t="s">
        <v>83</v>
      </c>
      <c r="P118" s="474">
        <f>Rens!F19</f>
        <v>0</v>
      </c>
      <c r="Q118" s="231"/>
      <c r="R118" s="231"/>
      <c r="S118" s="231"/>
      <c r="T118" s="231"/>
      <c r="U118" s="428"/>
    </row>
    <row r="119" spans="1:21" s="343" customFormat="1" ht="18.75" x14ac:dyDescent="0.2">
      <c r="A119" s="429" t="s">
        <v>84</v>
      </c>
      <c r="B119" s="430" t="str">
        <f>liste!$A$6</f>
        <v>Minimes</v>
      </c>
      <c r="C119" s="345"/>
      <c r="D119" s="345"/>
      <c r="E119" s="345"/>
      <c r="F119" s="345"/>
      <c r="G119" s="345"/>
      <c r="H119" s="345"/>
      <c r="I119" s="345"/>
      <c r="J119" s="431"/>
      <c r="K119" s="432"/>
      <c r="L119" s="429" t="s">
        <v>84</v>
      </c>
      <c r="M119" s="430" t="str">
        <f>$B$3</f>
        <v>Minimes</v>
      </c>
      <c r="N119" s="345"/>
      <c r="O119" s="345"/>
      <c r="P119" s="345"/>
      <c r="Q119" s="345"/>
      <c r="R119" s="345"/>
      <c r="S119" s="345"/>
      <c r="T119" s="345"/>
      <c r="U119" s="431"/>
    </row>
    <row r="120" spans="1:21" s="343" customFormat="1" ht="18.75" x14ac:dyDescent="0.2">
      <c r="A120" s="997" t="str">
        <f>Tableau!P7</f>
        <v>Places 17 à 32</v>
      </c>
      <c r="B120" s="998"/>
      <c r="C120" s="998"/>
      <c r="D120" s="998"/>
      <c r="E120" s="345"/>
      <c r="F120" s="345"/>
      <c r="G120" s="430" t="str">
        <f>Rens!E18</f>
        <v>O</v>
      </c>
      <c r="H120" s="430"/>
      <c r="I120" s="345"/>
      <c r="J120" s="431"/>
      <c r="K120" s="432"/>
      <c r="L120" s="997" t="str">
        <f>A120</f>
        <v>Places 17 à 32</v>
      </c>
      <c r="M120" s="998"/>
      <c r="N120" s="998"/>
      <c r="O120" s="998"/>
      <c r="P120" s="345"/>
      <c r="Q120" s="345"/>
      <c r="R120" s="430" t="str">
        <f>Rens!E19</f>
        <v>P</v>
      </c>
      <c r="S120" s="430"/>
      <c r="T120" s="430"/>
      <c r="U120" s="433"/>
    </row>
    <row r="121" spans="1:21" s="343" customFormat="1" ht="23.25" x14ac:dyDescent="0.2">
      <c r="A121" s="432"/>
      <c r="B121" s="434">
        <f>Tableau!AB46</f>
        <v>0</v>
      </c>
      <c r="C121" s="345"/>
      <c r="D121" s="345"/>
      <c r="E121" s="344" t="s">
        <v>178</v>
      </c>
      <c r="F121" s="234">
        <f>Rens!G18</f>
        <v>0</v>
      </c>
      <c r="G121" s="345"/>
      <c r="H121" s="345"/>
      <c r="I121" s="345"/>
      <c r="J121" s="431"/>
      <c r="K121" s="432"/>
      <c r="L121" s="432"/>
      <c r="M121" s="434">
        <f>Tableau!AB42</f>
        <v>0</v>
      </c>
      <c r="N121" s="345"/>
      <c r="O121" s="345"/>
      <c r="P121" s="344" t="s">
        <v>178</v>
      </c>
      <c r="Q121" s="234">
        <f>Rens!G19</f>
        <v>0</v>
      </c>
      <c r="R121" s="345"/>
      <c r="S121" s="345"/>
      <c r="T121" s="345"/>
      <c r="U121" s="431"/>
    </row>
    <row r="122" spans="1:21" s="442" customFormat="1" ht="15.75" x14ac:dyDescent="0.2">
      <c r="A122" s="435" t="s">
        <v>85</v>
      </c>
      <c r="B122" s="436" t="e">
        <f>IF(B121="","",VLOOKUP(B121,liste!$A$9:$G$145,2,FALSE))</f>
        <v>#N/A</v>
      </c>
      <c r="C122" s="437"/>
      <c r="D122" s="437"/>
      <c r="E122" s="437"/>
      <c r="F122" s="437"/>
      <c r="G122" s="437"/>
      <c r="H122" s="437"/>
      <c r="I122" s="438"/>
      <c r="J122" s="439"/>
      <c r="K122" s="440"/>
      <c r="L122" s="435" t="s">
        <v>85</v>
      </c>
      <c r="M122" s="436" t="e">
        <f>IF(M121="","",VLOOKUP(M121,liste!$A$9:$G$145,2,FALSE))</f>
        <v>#N/A</v>
      </c>
      <c r="N122" s="437"/>
      <c r="O122" s="437"/>
      <c r="P122" s="437"/>
      <c r="Q122" s="437"/>
      <c r="R122" s="437"/>
      <c r="S122" s="437"/>
      <c r="T122" s="437"/>
      <c r="U122" s="441"/>
    </row>
    <row r="123" spans="1:21" s="232" customFormat="1" ht="20.100000000000001" customHeight="1" x14ac:dyDescent="0.2">
      <c r="A123" s="425"/>
      <c r="B123" s="231"/>
      <c r="C123" s="231"/>
      <c r="D123" s="999" t="s">
        <v>19</v>
      </c>
      <c r="E123" s="1000"/>
      <c r="F123" s="1000"/>
      <c r="G123" s="1000"/>
      <c r="H123" s="1000"/>
      <c r="I123" s="1000"/>
      <c r="J123" s="1001"/>
      <c r="K123" s="425"/>
      <c r="L123" s="443"/>
      <c r="M123" s="444"/>
      <c r="N123" s="444"/>
      <c r="O123" s="1002" t="s">
        <v>19</v>
      </c>
      <c r="P123" s="1003"/>
      <c r="Q123" s="1003"/>
      <c r="R123" s="1003"/>
      <c r="S123" s="1003"/>
      <c r="T123" s="1003"/>
      <c r="U123" s="1004"/>
    </row>
    <row r="124" spans="1:21" s="232" customFormat="1" ht="20.100000000000001" customHeight="1" x14ac:dyDescent="0.2">
      <c r="A124" s="992" t="s">
        <v>86</v>
      </c>
      <c r="B124" s="993"/>
      <c r="C124" s="993"/>
      <c r="D124" s="467">
        <v>1</v>
      </c>
      <c r="E124" s="467">
        <v>2</v>
      </c>
      <c r="F124" s="467">
        <v>3</v>
      </c>
      <c r="G124" s="467">
        <v>4</v>
      </c>
      <c r="H124" s="467">
        <v>5</v>
      </c>
      <c r="I124" s="467">
        <v>6</v>
      </c>
      <c r="J124" s="467">
        <v>7</v>
      </c>
      <c r="K124" s="425"/>
      <c r="L124" s="992" t="s">
        <v>86</v>
      </c>
      <c r="M124" s="993"/>
      <c r="N124" s="993"/>
      <c r="O124" s="445">
        <v>1</v>
      </c>
      <c r="P124" s="445">
        <v>2</v>
      </c>
      <c r="Q124" s="445">
        <v>3</v>
      </c>
      <c r="R124" s="445">
        <v>4</v>
      </c>
      <c r="S124" s="446">
        <v>5</v>
      </c>
      <c r="T124" s="497">
        <v>6</v>
      </c>
      <c r="U124" s="446">
        <v>7</v>
      </c>
    </row>
    <row r="125" spans="1:21" s="232" customFormat="1" ht="20.100000000000001" customHeight="1" x14ac:dyDescent="0.2">
      <c r="A125" s="500"/>
      <c r="B125" s="501"/>
      <c r="C125" s="501"/>
      <c r="D125" s="994" t="s">
        <v>92</v>
      </c>
      <c r="E125" s="995"/>
      <c r="F125" s="995"/>
      <c r="G125" s="995"/>
      <c r="H125" s="995"/>
      <c r="I125" s="995"/>
      <c r="J125" s="996"/>
      <c r="K125" s="425"/>
      <c r="L125" s="500"/>
      <c r="M125" s="501"/>
      <c r="N125" s="501"/>
      <c r="O125" s="994" t="s">
        <v>92</v>
      </c>
      <c r="P125" s="995"/>
      <c r="Q125" s="995"/>
      <c r="R125" s="995"/>
      <c r="S125" s="995"/>
      <c r="T125" s="995"/>
      <c r="U125" s="996"/>
    </row>
    <row r="126" spans="1:21" s="232" customFormat="1" ht="18.75" x14ac:dyDescent="0.2">
      <c r="A126" s="498" t="str">
        <f>Tableau!P10</f>
        <v/>
      </c>
      <c r="B126" s="231"/>
      <c r="C126" s="231"/>
      <c r="D126" s="447"/>
      <c r="E126" s="447"/>
      <c r="F126" s="447"/>
      <c r="G126" s="447"/>
      <c r="H126" s="447"/>
      <c r="I126" s="447"/>
      <c r="J126" s="447"/>
      <c r="K126" s="425"/>
      <c r="L126" s="498" t="str">
        <f>Tableau!P16</f>
        <v/>
      </c>
      <c r="M126" s="231"/>
      <c r="N126" s="231"/>
      <c r="O126" s="448"/>
      <c r="P126" s="448"/>
      <c r="Q126" s="448"/>
      <c r="R126" s="448"/>
      <c r="S126" s="448"/>
      <c r="T126" s="449"/>
      <c r="U126" s="448"/>
    </row>
    <row r="127" spans="1:21" s="232" customFormat="1" ht="20.100000000000001" customHeight="1" x14ac:dyDescent="0.2">
      <c r="A127" s="990" t="str">
        <f>IF(A126="","",VLOOKUP(A126,liste!$A$9:$G$145,2,FALSE))</f>
        <v/>
      </c>
      <c r="B127" s="991" t="s">
        <v>288</v>
      </c>
      <c r="C127" s="991" t="s">
        <v>288</v>
      </c>
      <c r="D127" s="447"/>
      <c r="E127" s="447"/>
      <c r="F127" s="447"/>
      <c r="G127" s="447"/>
      <c r="H127" s="447"/>
      <c r="I127" s="447"/>
      <c r="J127" s="447"/>
      <c r="K127" s="425"/>
      <c r="L127" s="990" t="str">
        <f>IF(L126="","",VLOOKUP(L126,liste!$A$9:$G$145,2,FALSE))</f>
        <v/>
      </c>
      <c r="M127" s="991" t="s">
        <v>288</v>
      </c>
      <c r="N127" s="991" t="s">
        <v>288</v>
      </c>
      <c r="O127" s="447"/>
      <c r="P127" s="447"/>
      <c r="Q127" s="447"/>
      <c r="R127" s="447"/>
      <c r="S127" s="447"/>
      <c r="T127" s="428"/>
      <c r="U127" s="447"/>
    </row>
    <row r="128" spans="1:21" s="232" customFormat="1" ht="20.100000000000001" customHeight="1" x14ac:dyDescent="0.2">
      <c r="A128" s="425"/>
      <c r="B128" s="231"/>
      <c r="C128" s="450" t="str">
        <f>IF(A126="","",VLOOKUP(A126,liste!$A$9:$G$145,4,FALSE))</f>
        <v/>
      </c>
      <c r="D128" s="451"/>
      <c r="E128" s="451"/>
      <c r="F128" s="451"/>
      <c r="G128" s="451"/>
      <c r="H128" s="451"/>
      <c r="I128" s="451"/>
      <c r="J128" s="451"/>
      <c r="K128" s="425"/>
      <c r="L128" s="425"/>
      <c r="M128" s="231"/>
      <c r="N128" s="450" t="str">
        <f>IF(L126="","",VLOOKUP(L126,liste!$A$9:$G$145,4,FALSE))</f>
        <v/>
      </c>
      <c r="O128" s="451"/>
      <c r="P128" s="451"/>
      <c r="Q128" s="451"/>
      <c r="R128" s="451"/>
      <c r="S128" s="451"/>
      <c r="T128" s="452"/>
      <c r="U128" s="451"/>
    </row>
    <row r="129" spans="1:21" s="232" customFormat="1" ht="15.75" x14ac:dyDescent="0.2">
      <c r="A129" s="453" t="str">
        <f>IF(A126="","",VLOOKUP(A126,liste!$A$9:$G$145,3,FALSE))</f>
        <v/>
      </c>
      <c r="B129" s="231"/>
      <c r="C129" s="231"/>
      <c r="D129" s="455"/>
      <c r="E129" s="455"/>
      <c r="F129" s="455"/>
      <c r="G129" s="455"/>
      <c r="H129" s="455"/>
      <c r="I129" s="455"/>
      <c r="J129" s="455"/>
      <c r="K129" s="425"/>
      <c r="L129" s="453" t="str">
        <f>IF(L126="","",VLOOKUP(L126,liste!$A$9:$G$145,3,FALSE))</f>
        <v/>
      </c>
      <c r="M129" s="231"/>
      <c r="N129" s="231"/>
      <c r="O129" s="454"/>
      <c r="P129" s="454"/>
      <c r="Q129" s="454"/>
      <c r="R129" s="454"/>
      <c r="S129" s="454"/>
      <c r="T129" s="456"/>
      <c r="U129" s="454"/>
    </row>
    <row r="130" spans="1:21" s="232" customFormat="1" ht="12.75" x14ac:dyDescent="0.2">
      <c r="A130" s="425"/>
      <c r="B130" s="230" t="s">
        <v>9</v>
      </c>
      <c r="C130" s="231"/>
      <c r="D130" s="458"/>
      <c r="E130" s="458"/>
      <c r="F130" s="458"/>
      <c r="G130" s="458"/>
      <c r="H130" s="458"/>
      <c r="I130" s="458"/>
      <c r="J130" s="458"/>
      <c r="K130" s="425"/>
      <c r="L130" s="425"/>
      <c r="M130" s="230" t="s">
        <v>9</v>
      </c>
      <c r="N130" s="231"/>
      <c r="O130" s="457"/>
      <c r="P130" s="457"/>
      <c r="Q130" s="457"/>
      <c r="R130" s="457"/>
      <c r="S130" s="457"/>
      <c r="T130" s="459"/>
      <c r="U130" s="457"/>
    </row>
    <row r="131" spans="1:21" s="232" customFormat="1" ht="18.75" x14ac:dyDescent="0.2">
      <c r="A131" s="498" t="str">
        <f>Tableau!P12</f>
        <v/>
      </c>
      <c r="B131" s="231"/>
      <c r="C131" s="231"/>
      <c r="D131" s="448"/>
      <c r="E131" s="448"/>
      <c r="F131" s="448"/>
      <c r="G131" s="448"/>
      <c r="H131" s="448"/>
      <c r="I131" s="448"/>
      <c r="J131" s="448"/>
      <c r="K131" s="425"/>
      <c r="L131" s="498" t="str">
        <f>Tableau!P18</f>
        <v/>
      </c>
      <c r="M131" s="231"/>
      <c r="N131" s="231"/>
      <c r="O131" s="448"/>
      <c r="P131" s="448"/>
      <c r="Q131" s="448"/>
      <c r="R131" s="448"/>
      <c r="S131" s="448"/>
      <c r="T131" s="449"/>
      <c r="U131" s="448"/>
    </row>
    <row r="132" spans="1:21" s="232" customFormat="1" ht="20.100000000000001" customHeight="1" x14ac:dyDescent="0.2">
      <c r="A132" s="990" t="str">
        <f>IF(A131="","",VLOOKUP(A131,liste!$A$9:$G$145,2,FALSE))</f>
        <v/>
      </c>
      <c r="B132" s="991" t="s">
        <v>288</v>
      </c>
      <c r="C132" s="991" t="s">
        <v>288</v>
      </c>
      <c r="D132" s="447"/>
      <c r="E132" s="447"/>
      <c r="F132" s="447"/>
      <c r="G132" s="447"/>
      <c r="H132" s="447"/>
      <c r="I132" s="447"/>
      <c r="J132" s="447"/>
      <c r="K132" s="425"/>
      <c r="L132" s="990" t="str">
        <f>IF(L131="","",VLOOKUP(L131,liste!$A$9:$G$145,2,FALSE))</f>
        <v/>
      </c>
      <c r="M132" s="991" t="s">
        <v>288</v>
      </c>
      <c r="N132" s="991" t="s">
        <v>288</v>
      </c>
      <c r="O132" s="447"/>
      <c r="P132" s="447"/>
      <c r="Q132" s="447"/>
      <c r="R132" s="447"/>
      <c r="S132" s="447"/>
      <c r="T132" s="428"/>
      <c r="U132" s="447"/>
    </row>
    <row r="133" spans="1:21" s="232" customFormat="1" ht="20.100000000000001" customHeight="1" x14ac:dyDescent="0.2">
      <c r="A133" s="425"/>
      <c r="B133" s="231"/>
      <c r="C133" s="460" t="str">
        <f>IF(A131="","",VLOOKUP(A131,liste!$A$9:$G$145,4,FALSE))</f>
        <v/>
      </c>
      <c r="D133" s="451"/>
      <c r="E133" s="451"/>
      <c r="F133" s="451"/>
      <c r="G133" s="451"/>
      <c r="H133" s="451"/>
      <c r="I133" s="451"/>
      <c r="J133" s="451"/>
      <c r="K133" s="425"/>
      <c r="L133" s="425"/>
      <c r="M133" s="231"/>
      <c r="N133" s="460" t="str">
        <f>IF(L131="","",VLOOKUP(L131,liste!$A$9:$G$145,4,FALSE))</f>
        <v/>
      </c>
      <c r="O133" s="451"/>
      <c r="P133" s="451"/>
      <c r="Q133" s="451"/>
      <c r="R133" s="451"/>
      <c r="S133" s="451"/>
      <c r="T133" s="452"/>
      <c r="U133" s="451"/>
    </row>
    <row r="134" spans="1:21" s="232" customFormat="1" ht="15.75" x14ac:dyDescent="0.2">
      <c r="A134" s="453" t="str">
        <f>IF(A131="","",VLOOKUP(A131,liste!$A$9:$G$145,3,FALSE))</f>
        <v/>
      </c>
      <c r="B134" s="231"/>
      <c r="C134" s="231"/>
      <c r="D134" s="455"/>
      <c r="E134" s="455"/>
      <c r="F134" s="455"/>
      <c r="G134" s="455"/>
      <c r="H134" s="455"/>
      <c r="I134" s="455"/>
      <c r="J134" s="455"/>
      <c r="K134" s="425"/>
      <c r="L134" s="453" t="str">
        <f>IF(L131="","",VLOOKUP(L131,liste!$A$9:$G$145,3,FALSE))</f>
        <v/>
      </c>
      <c r="M134" s="231"/>
      <c r="N134" s="231"/>
      <c r="O134" s="454"/>
      <c r="P134" s="454"/>
      <c r="Q134" s="454"/>
      <c r="R134" s="454"/>
      <c r="S134" s="454"/>
      <c r="T134" s="456"/>
      <c r="U134" s="454"/>
    </row>
    <row r="135" spans="1:21" s="232" customFormat="1" ht="12.75" x14ac:dyDescent="0.2">
      <c r="A135" s="425"/>
      <c r="B135" s="231"/>
      <c r="C135" s="231"/>
      <c r="D135" s="458"/>
      <c r="E135" s="458"/>
      <c r="F135" s="458"/>
      <c r="G135" s="458"/>
      <c r="H135" s="458"/>
      <c r="I135" s="458"/>
      <c r="J135" s="458"/>
      <c r="K135" s="425"/>
      <c r="L135" s="425"/>
      <c r="M135" s="231"/>
      <c r="N135" s="231"/>
      <c r="O135" s="457"/>
      <c r="P135" s="457"/>
      <c r="Q135" s="457"/>
      <c r="R135" s="457"/>
      <c r="S135" s="457"/>
      <c r="T135" s="459"/>
      <c r="U135" s="457"/>
    </row>
    <row r="136" spans="1:21" s="232" customFormat="1" ht="12.75" x14ac:dyDescent="0.2">
      <c r="A136" s="425"/>
      <c r="B136" s="231"/>
      <c r="C136" s="231"/>
      <c r="D136" s="231"/>
      <c r="E136" s="231"/>
      <c r="F136" s="231"/>
      <c r="G136" s="231"/>
      <c r="H136" s="231"/>
      <c r="I136" s="231"/>
      <c r="J136" s="428"/>
      <c r="K136" s="425"/>
      <c r="L136" s="425"/>
      <c r="M136" s="231"/>
      <c r="N136" s="231"/>
      <c r="O136" s="231"/>
      <c r="P136" s="231"/>
      <c r="Q136" s="231"/>
      <c r="R136" s="231"/>
      <c r="S136" s="426"/>
      <c r="T136" s="231"/>
      <c r="U136" s="428"/>
    </row>
    <row r="137" spans="1:21" s="232" customFormat="1" ht="20.100000000000001" customHeight="1" x14ac:dyDescent="0.2">
      <c r="A137" s="988" t="s">
        <v>90</v>
      </c>
      <c r="B137" s="989"/>
      <c r="C137" s="989"/>
      <c r="D137" s="461" t="s">
        <v>77</v>
      </c>
      <c r="E137" s="461" t="s">
        <v>87</v>
      </c>
      <c r="F137" s="461" t="s">
        <v>88</v>
      </c>
      <c r="G137" s="231"/>
      <c r="H137" s="231"/>
      <c r="I137" s="231"/>
      <c r="J137" s="428"/>
      <c r="K137" s="425"/>
      <c r="L137" s="988" t="s">
        <v>90</v>
      </c>
      <c r="M137" s="989"/>
      <c r="N137" s="989"/>
      <c r="O137" s="461" t="s">
        <v>77</v>
      </c>
      <c r="P137" s="461" t="s">
        <v>87</v>
      </c>
      <c r="Q137" s="461" t="s">
        <v>88</v>
      </c>
      <c r="R137" s="231"/>
      <c r="S137" s="231"/>
      <c r="T137" s="231"/>
      <c r="U137" s="428"/>
    </row>
    <row r="138" spans="1:21" s="232" customFormat="1" ht="20.100000000000001" customHeight="1" x14ac:dyDescent="0.2">
      <c r="A138" s="462" t="str">
        <f>A127</f>
        <v/>
      </c>
      <c r="B138" s="426"/>
      <c r="C138" s="449"/>
      <c r="D138" s="448"/>
      <c r="E138" s="448"/>
      <c r="F138" s="448"/>
      <c r="G138" s="231"/>
      <c r="H138" s="231"/>
      <c r="I138" s="231"/>
      <c r="J138" s="428"/>
      <c r="K138" s="425"/>
      <c r="L138" s="462" t="str">
        <f>L127</f>
        <v/>
      </c>
      <c r="M138" s="426"/>
      <c r="N138" s="449"/>
      <c r="O138" s="448"/>
      <c r="P138" s="448"/>
      <c r="Q138" s="448"/>
      <c r="R138" s="231"/>
      <c r="S138" s="231"/>
      <c r="T138" s="231"/>
      <c r="U138" s="428"/>
    </row>
    <row r="139" spans="1:21" s="232" customFormat="1" ht="20.100000000000001" customHeight="1" x14ac:dyDescent="0.2">
      <c r="A139" s="463"/>
      <c r="B139" s="233"/>
      <c r="C139" s="452"/>
      <c r="D139" s="451"/>
      <c r="E139" s="451"/>
      <c r="F139" s="451"/>
      <c r="G139" s="231"/>
      <c r="H139" s="231"/>
      <c r="I139" s="231"/>
      <c r="J139" s="428"/>
      <c r="K139" s="425"/>
      <c r="L139" s="463"/>
      <c r="M139" s="233"/>
      <c r="N139" s="452"/>
      <c r="O139" s="451"/>
      <c r="P139" s="451"/>
      <c r="Q139" s="451"/>
      <c r="R139" s="231"/>
      <c r="S139" s="231"/>
      <c r="T139" s="231"/>
      <c r="U139" s="428"/>
    </row>
    <row r="140" spans="1:21" s="232" customFormat="1" ht="20.100000000000001" customHeight="1" x14ac:dyDescent="0.2">
      <c r="A140" s="462" t="str">
        <f>A132</f>
        <v/>
      </c>
      <c r="B140" s="426"/>
      <c r="C140" s="449"/>
      <c r="D140" s="448"/>
      <c r="E140" s="448"/>
      <c r="F140" s="448"/>
      <c r="G140" s="231"/>
      <c r="H140" s="231"/>
      <c r="I140" s="231"/>
      <c r="J140" s="428"/>
      <c r="K140" s="425"/>
      <c r="L140" s="462" t="str">
        <f>L132</f>
        <v/>
      </c>
      <c r="M140" s="426"/>
      <c r="N140" s="449"/>
      <c r="O140" s="448"/>
      <c r="P140" s="448"/>
      <c r="Q140" s="448"/>
      <c r="R140" s="231"/>
      <c r="S140" s="231"/>
      <c r="T140" s="231"/>
      <c r="U140" s="428"/>
    </row>
    <row r="141" spans="1:21" s="232" customFormat="1" ht="20.100000000000001" customHeight="1" x14ac:dyDescent="0.2">
      <c r="A141" s="463"/>
      <c r="B141" s="233"/>
      <c r="C141" s="452"/>
      <c r="D141" s="451"/>
      <c r="E141" s="451"/>
      <c r="F141" s="451"/>
      <c r="G141" s="231"/>
      <c r="H141" s="231"/>
      <c r="I141" s="231"/>
      <c r="J141" s="428"/>
      <c r="K141" s="425"/>
      <c r="L141" s="463"/>
      <c r="M141" s="233"/>
      <c r="N141" s="452"/>
      <c r="O141" s="451"/>
      <c r="P141" s="451"/>
      <c r="Q141" s="451"/>
      <c r="R141" s="231"/>
      <c r="S141" s="231"/>
      <c r="T141" s="231"/>
      <c r="U141" s="428"/>
    </row>
    <row r="142" spans="1:21" s="232" customFormat="1" ht="12.75" x14ac:dyDescent="0.2">
      <c r="A142" s="464" t="s">
        <v>91</v>
      </c>
      <c r="B142" s="231"/>
      <c r="C142" s="231"/>
      <c r="D142" s="231"/>
      <c r="E142" s="231"/>
      <c r="F142" s="231"/>
      <c r="G142" s="231"/>
      <c r="H142" s="231"/>
      <c r="I142" s="231"/>
      <c r="J142" s="428"/>
      <c r="K142" s="425"/>
      <c r="L142" s="464" t="s">
        <v>91</v>
      </c>
      <c r="M142" s="231"/>
      <c r="N142" s="231"/>
      <c r="O142" s="231"/>
      <c r="P142" s="231"/>
      <c r="Q142" s="231"/>
      <c r="R142" s="231"/>
      <c r="S142" s="231"/>
      <c r="T142" s="231"/>
      <c r="U142" s="428"/>
    </row>
    <row r="143" spans="1:21" s="232" customFormat="1" ht="12.75" x14ac:dyDescent="0.2">
      <c r="A143" s="425"/>
      <c r="B143" s="231"/>
      <c r="C143" s="231"/>
      <c r="D143" s="231"/>
      <c r="E143" s="231"/>
      <c r="F143" s="231"/>
      <c r="G143" s="231"/>
      <c r="H143" s="231"/>
      <c r="I143" s="231"/>
      <c r="J143" s="428"/>
      <c r="K143" s="425"/>
      <c r="L143" s="425"/>
      <c r="M143" s="231"/>
      <c r="N143" s="231"/>
      <c r="O143" s="231"/>
      <c r="P143" s="231"/>
      <c r="Q143" s="231"/>
      <c r="R143" s="231"/>
      <c r="S143" s="231"/>
      <c r="T143" s="231"/>
      <c r="U143" s="428"/>
    </row>
    <row r="144" spans="1:21" s="232" customFormat="1" ht="12.75" x14ac:dyDescent="0.2">
      <c r="A144" s="465" t="s">
        <v>89</v>
      </c>
      <c r="B144" s="233"/>
      <c r="C144" s="233"/>
      <c r="D144" s="233"/>
      <c r="E144" s="233"/>
      <c r="F144" s="233"/>
      <c r="G144" s="233"/>
      <c r="H144" s="233"/>
      <c r="I144" s="233"/>
      <c r="J144" s="452"/>
      <c r="K144" s="425"/>
      <c r="L144" s="465" t="s">
        <v>89</v>
      </c>
      <c r="M144" s="233"/>
      <c r="N144" s="233"/>
      <c r="O144" s="233"/>
      <c r="P144" s="233"/>
      <c r="Q144" s="233"/>
      <c r="R144" s="233"/>
      <c r="S144" s="233"/>
      <c r="T144" s="233"/>
      <c r="U144" s="452"/>
    </row>
    <row r="145" spans="1:21" s="232" customFormat="1" ht="30" customHeight="1" x14ac:dyDescent="0.2"/>
    <row r="146" spans="1:21" s="232" customFormat="1" ht="30" customHeight="1" x14ac:dyDescent="0.2"/>
    <row r="147" spans="1:21" s="232" customFormat="1" ht="20.100000000000001" customHeight="1" x14ac:dyDescent="0.2">
      <c r="A147" s="1005" t="str">
        <f>$A$1</f>
        <v>Circuit décathlon</v>
      </c>
      <c r="B147" s="1006"/>
      <c r="C147" s="1006"/>
      <c r="D147" s="1006"/>
      <c r="E147" s="1006"/>
      <c r="F147" s="1006"/>
      <c r="G147" s="1006"/>
      <c r="H147" s="1006"/>
      <c r="I147" s="1006"/>
      <c r="J147" s="1007"/>
      <c r="K147" s="425"/>
      <c r="L147" s="1005" t="str">
        <f>$A$1</f>
        <v>Circuit décathlon</v>
      </c>
      <c r="M147" s="1006"/>
      <c r="N147" s="1006"/>
      <c r="O147" s="1006"/>
      <c r="P147" s="1006"/>
      <c r="Q147" s="1006"/>
      <c r="R147" s="1006"/>
      <c r="S147" s="1006"/>
      <c r="T147" s="475"/>
      <c r="U147" s="449"/>
    </row>
    <row r="148" spans="1:21" s="232" customFormat="1" ht="15.75" x14ac:dyDescent="0.2">
      <c r="A148" s="425"/>
      <c r="B148" s="231"/>
      <c r="C148" s="231"/>
      <c r="D148" s="427" t="s">
        <v>83</v>
      </c>
      <c r="E148" s="474">
        <f>Rens!F20</f>
        <v>0</v>
      </c>
      <c r="F148" s="474"/>
      <c r="G148" s="231"/>
      <c r="H148" s="231"/>
      <c r="I148" s="231"/>
      <c r="J148" s="428"/>
      <c r="K148" s="425"/>
      <c r="L148" s="425"/>
      <c r="M148" s="231"/>
      <c r="N148" s="231"/>
      <c r="O148" s="427" t="s">
        <v>83</v>
      </c>
      <c r="P148" s="474">
        <f>Rens!F21</f>
        <v>0</v>
      </c>
      <c r="Q148" s="474"/>
      <c r="R148" s="231"/>
      <c r="S148" s="231"/>
      <c r="T148" s="231"/>
      <c r="U148" s="428"/>
    </row>
    <row r="149" spans="1:21" s="343" customFormat="1" ht="18.75" x14ac:dyDescent="0.2">
      <c r="A149" s="429" t="s">
        <v>84</v>
      </c>
      <c r="B149" s="430" t="str">
        <f>$B$3</f>
        <v>Minimes</v>
      </c>
      <c r="C149" s="345"/>
      <c r="D149" s="345"/>
      <c r="E149" s="345"/>
      <c r="F149" s="345"/>
      <c r="G149" s="345"/>
      <c r="H149" s="345"/>
      <c r="I149" s="345"/>
      <c r="J149" s="431"/>
      <c r="K149" s="432"/>
      <c r="L149" s="429" t="s">
        <v>84</v>
      </c>
      <c r="M149" s="430" t="str">
        <f>$B$3</f>
        <v>Minimes</v>
      </c>
      <c r="N149" s="345"/>
      <c r="O149" s="345"/>
      <c r="P149" s="345"/>
      <c r="Q149" s="345"/>
      <c r="R149" s="345"/>
      <c r="S149" s="345"/>
      <c r="T149" s="345"/>
      <c r="U149" s="431"/>
    </row>
    <row r="150" spans="1:21" s="343" customFormat="1" ht="18.75" x14ac:dyDescent="0.2">
      <c r="A150" s="997" t="str">
        <f>A120</f>
        <v>Places 17 à 32</v>
      </c>
      <c r="B150" s="998"/>
      <c r="C150" s="998"/>
      <c r="D150" s="998"/>
      <c r="E150" s="345"/>
      <c r="F150" s="345"/>
      <c r="G150" s="430" t="str">
        <f>Rens!E20</f>
        <v>Q</v>
      </c>
      <c r="H150" s="430"/>
      <c r="I150" s="345"/>
      <c r="J150" s="431"/>
      <c r="K150" s="432"/>
      <c r="L150" s="997" t="str">
        <f>A120</f>
        <v>Places 17 à 32</v>
      </c>
      <c r="M150" s="998"/>
      <c r="N150" s="998"/>
      <c r="O150" s="998"/>
      <c r="P150" s="345"/>
      <c r="Q150" s="345"/>
      <c r="R150" s="466" t="str">
        <f>Rens!E21</f>
        <v>R</v>
      </c>
      <c r="S150" s="430"/>
      <c r="T150" s="466"/>
      <c r="U150" s="433"/>
    </row>
    <row r="151" spans="1:21" s="343" customFormat="1" ht="23.25" x14ac:dyDescent="0.2">
      <c r="A151" s="432"/>
      <c r="B151" s="434">
        <f>Tableau!AB36</f>
        <v>0</v>
      </c>
      <c r="C151" s="345"/>
      <c r="D151" s="345"/>
      <c r="E151" s="344" t="s">
        <v>178</v>
      </c>
      <c r="F151" s="234">
        <f>Rens!G20</f>
        <v>0</v>
      </c>
      <c r="G151" s="345"/>
      <c r="H151" s="345"/>
      <c r="I151" s="345"/>
      <c r="J151" s="431"/>
      <c r="K151" s="432"/>
      <c r="L151" s="432"/>
      <c r="M151" s="434">
        <f>Tableau!AB32</f>
        <v>0</v>
      </c>
      <c r="N151" s="345"/>
      <c r="O151" s="345"/>
      <c r="P151" s="344" t="s">
        <v>178</v>
      </c>
      <c r="Q151" s="234">
        <f>Rens!G21</f>
        <v>0</v>
      </c>
      <c r="R151" s="345"/>
      <c r="S151" s="345"/>
      <c r="T151" s="345"/>
      <c r="U151" s="431"/>
    </row>
    <row r="152" spans="1:21" s="442" customFormat="1" ht="15.75" x14ac:dyDescent="0.2">
      <c r="A152" s="435" t="s">
        <v>85</v>
      </c>
      <c r="B152" s="436" t="e">
        <f>IF(B151="","",VLOOKUP(B151,liste!$A$9:$G$145,2,FALSE))</f>
        <v>#N/A</v>
      </c>
      <c r="C152" s="437"/>
      <c r="D152" s="437"/>
      <c r="E152" s="437"/>
      <c r="F152" s="437"/>
      <c r="G152" s="437"/>
      <c r="H152" s="437"/>
      <c r="I152" s="438"/>
      <c r="J152" s="439"/>
      <c r="K152" s="440"/>
      <c r="L152" s="435" t="s">
        <v>85</v>
      </c>
      <c r="M152" s="436" t="e">
        <f>IF(M151="","",VLOOKUP(M151,liste!$A$9:$G$145,2,FALSE))</f>
        <v>#N/A</v>
      </c>
      <c r="N152" s="437"/>
      <c r="O152" s="437"/>
      <c r="P152" s="437"/>
      <c r="Q152" s="437"/>
      <c r="R152" s="437"/>
      <c r="S152" s="437"/>
      <c r="T152" s="437"/>
      <c r="U152" s="441"/>
    </row>
    <row r="153" spans="1:21" s="232" customFormat="1" ht="20.100000000000001" customHeight="1" x14ac:dyDescent="0.2">
      <c r="A153" s="425"/>
      <c r="D153" s="999" t="s">
        <v>19</v>
      </c>
      <c r="E153" s="1000"/>
      <c r="F153" s="1000"/>
      <c r="G153" s="1000"/>
      <c r="H153" s="1000"/>
      <c r="I153" s="1000"/>
      <c r="J153" s="1001"/>
      <c r="K153" s="425"/>
      <c r="L153" s="443"/>
      <c r="M153" s="444"/>
      <c r="N153" s="444"/>
      <c r="O153" s="1002" t="s">
        <v>19</v>
      </c>
      <c r="P153" s="1003"/>
      <c r="Q153" s="1003"/>
      <c r="R153" s="1003"/>
      <c r="S153" s="1003"/>
      <c r="T153" s="1003"/>
      <c r="U153" s="1004"/>
    </row>
    <row r="154" spans="1:21" s="232" customFormat="1" ht="20.100000000000001" customHeight="1" x14ac:dyDescent="0.2">
      <c r="A154" s="992" t="s">
        <v>86</v>
      </c>
      <c r="B154" s="993"/>
      <c r="C154" s="993"/>
      <c r="D154" s="467">
        <v>1</v>
      </c>
      <c r="E154" s="467">
        <v>2</v>
      </c>
      <c r="F154" s="467">
        <v>3</v>
      </c>
      <c r="G154" s="467">
        <v>4</v>
      </c>
      <c r="H154" s="467">
        <v>5</v>
      </c>
      <c r="I154" s="467">
        <v>6</v>
      </c>
      <c r="J154" s="467">
        <v>7</v>
      </c>
      <c r="K154" s="425"/>
      <c r="L154" s="992" t="s">
        <v>86</v>
      </c>
      <c r="M154" s="993"/>
      <c r="N154" s="993"/>
      <c r="O154" s="445">
        <v>1</v>
      </c>
      <c r="P154" s="445">
        <v>2</v>
      </c>
      <c r="Q154" s="445">
        <v>3</v>
      </c>
      <c r="R154" s="445">
        <v>4</v>
      </c>
      <c r="S154" s="446">
        <v>5</v>
      </c>
      <c r="T154" s="497">
        <v>6</v>
      </c>
      <c r="U154" s="446">
        <v>7</v>
      </c>
    </row>
    <row r="155" spans="1:21" s="232" customFormat="1" ht="20.100000000000001" customHeight="1" x14ac:dyDescent="0.2">
      <c r="A155" s="500"/>
      <c r="B155" s="501"/>
      <c r="C155" s="501"/>
      <c r="D155" s="994" t="s">
        <v>92</v>
      </c>
      <c r="E155" s="995"/>
      <c r="F155" s="995"/>
      <c r="G155" s="995"/>
      <c r="H155" s="995"/>
      <c r="I155" s="995"/>
      <c r="J155" s="996"/>
      <c r="K155" s="425"/>
      <c r="L155" s="500"/>
      <c r="M155" s="501"/>
      <c r="N155" s="501"/>
      <c r="O155" s="994" t="s">
        <v>92</v>
      </c>
      <c r="P155" s="995"/>
      <c r="Q155" s="995"/>
      <c r="R155" s="995"/>
      <c r="S155" s="995"/>
      <c r="T155" s="995"/>
      <c r="U155" s="996"/>
    </row>
    <row r="156" spans="1:21" s="232" customFormat="1" ht="18.75" x14ac:dyDescent="0.2">
      <c r="A156" s="498" t="str">
        <f>Tableau!P20</f>
        <v/>
      </c>
      <c r="C156" s="231"/>
      <c r="D156" s="448"/>
      <c r="E156" s="448"/>
      <c r="F156" s="448"/>
      <c r="G156" s="448"/>
      <c r="H156" s="448"/>
      <c r="I156" s="448"/>
      <c r="J156" s="448"/>
      <c r="K156" s="425"/>
      <c r="L156" s="498" t="str">
        <f>Tableau!P26</f>
        <v/>
      </c>
      <c r="M156" s="231"/>
      <c r="N156" s="231"/>
      <c r="O156" s="448"/>
      <c r="P156" s="448"/>
      <c r="Q156" s="448"/>
      <c r="R156" s="448"/>
      <c r="S156" s="448"/>
      <c r="T156" s="449"/>
      <c r="U156" s="448"/>
    </row>
    <row r="157" spans="1:21" s="232" customFormat="1" ht="20.100000000000001" customHeight="1" x14ac:dyDescent="0.2">
      <c r="A157" s="990" t="str">
        <f>IF(A156="","",VLOOKUP(A156,liste!$A$9:$G$145,2,FALSE))</f>
        <v/>
      </c>
      <c r="B157" s="991" t="s">
        <v>288</v>
      </c>
      <c r="C157" s="991" t="s">
        <v>288</v>
      </c>
      <c r="D157" s="447"/>
      <c r="E157" s="447"/>
      <c r="F157" s="447"/>
      <c r="G157" s="447"/>
      <c r="H157" s="447"/>
      <c r="I157" s="447"/>
      <c r="J157" s="447"/>
      <c r="K157" s="425"/>
      <c r="L157" s="990" t="str">
        <f>IF(L156="","",VLOOKUP(L156,liste!$A$9:$G$145,2,FALSE))</f>
        <v/>
      </c>
      <c r="M157" s="991" t="s">
        <v>288</v>
      </c>
      <c r="N157" s="991" t="s">
        <v>288</v>
      </c>
      <c r="O157" s="447"/>
      <c r="P157" s="447"/>
      <c r="Q157" s="447"/>
      <c r="R157" s="447"/>
      <c r="S157" s="447"/>
      <c r="T157" s="428"/>
      <c r="U157" s="447"/>
    </row>
    <row r="158" spans="1:21" s="232" customFormat="1" ht="20.100000000000001" customHeight="1" x14ac:dyDescent="0.2">
      <c r="A158" s="440"/>
      <c r="B158" s="438"/>
      <c r="C158" s="450" t="str">
        <f>IF(A156="","",VLOOKUP(A156,liste!$A$9:$G$145,4,FALSE))</f>
        <v/>
      </c>
      <c r="D158" s="451"/>
      <c r="E158" s="451"/>
      <c r="F158" s="451"/>
      <c r="G158" s="451"/>
      <c r="H158" s="451"/>
      <c r="I158" s="451"/>
      <c r="J158" s="451"/>
      <c r="K158" s="425"/>
      <c r="L158" s="440"/>
      <c r="M158" s="438"/>
      <c r="N158" s="450" t="str">
        <f>IF(L156="","",VLOOKUP(L156,liste!$A$9:$G$145,4,FALSE))</f>
        <v/>
      </c>
      <c r="O158" s="451"/>
      <c r="P158" s="451"/>
      <c r="Q158" s="451"/>
      <c r="R158" s="451"/>
      <c r="S158" s="451"/>
      <c r="T158" s="452"/>
      <c r="U158" s="451"/>
    </row>
    <row r="159" spans="1:21" s="232" customFormat="1" ht="15.75" x14ac:dyDescent="0.2">
      <c r="A159" s="468" t="str">
        <f>IF(A156="","",VLOOKUP(A156,liste!$A$9:$G$145,3,FALSE))</f>
        <v/>
      </c>
      <c r="B159" s="438"/>
      <c r="C159" s="438"/>
      <c r="D159" s="455"/>
      <c r="E159" s="455"/>
      <c r="F159" s="455"/>
      <c r="G159" s="455"/>
      <c r="H159" s="455"/>
      <c r="I159" s="455"/>
      <c r="J159" s="455"/>
      <c r="K159" s="425"/>
      <c r="L159" s="468" t="str">
        <f>IF(L156="","",VLOOKUP(L156,liste!$A$9:$G$145,3,FALSE))</f>
        <v/>
      </c>
      <c r="M159" s="438"/>
      <c r="N159" s="438"/>
      <c r="O159" s="454"/>
      <c r="P159" s="454"/>
      <c r="Q159" s="454"/>
      <c r="R159" s="454"/>
      <c r="S159" s="454"/>
      <c r="T159" s="456"/>
      <c r="U159" s="454"/>
    </row>
    <row r="160" spans="1:21" s="232" customFormat="1" ht="12.75" x14ac:dyDescent="0.2">
      <c r="A160" s="425"/>
      <c r="B160" s="230" t="s">
        <v>9</v>
      </c>
      <c r="C160" s="231"/>
      <c r="D160" s="458"/>
      <c r="E160" s="458"/>
      <c r="F160" s="458"/>
      <c r="G160" s="458"/>
      <c r="H160" s="458"/>
      <c r="I160" s="458"/>
      <c r="J160" s="458"/>
      <c r="K160" s="425"/>
      <c r="L160" s="425"/>
      <c r="M160" s="230" t="s">
        <v>9</v>
      </c>
      <c r="N160" s="231"/>
      <c r="O160" s="457"/>
      <c r="P160" s="457"/>
      <c r="Q160" s="457"/>
      <c r="R160" s="457"/>
      <c r="S160" s="457"/>
      <c r="T160" s="459"/>
      <c r="U160" s="457"/>
    </row>
    <row r="161" spans="1:21" s="232" customFormat="1" ht="18.75" x14ac:dyDescent="0.2">
      <c r="A161" s="498" t="str">
        <f>Tableau!P22</f>
        <v/>
      </c>
      <c r="B161" s="469"/>
      <c r="C161" s="231"/>
      <c r="D161" s="448"/>
      <c r="E161" s="448"/>
      <c r="F161" s="448"/>
      <c r="G161" s="448"/>
      <c r="H161" s="448"/>
      <c r="I161" s="448"/>
      <c r="J161" s="448"/>
      <c r="K161" s="425"/>
      <c r="L161" s="498" t="str">
        <f>Tableau!P28</f>
        <v/>
      </c>
      <c r="M161" s="231"/>
      <c r="N161" s="231"/>
      <c r="O161" s="448"/>
      <c r="P161" s="448"/>
      <c r="Q161" s="448"/>
      <c r="R161" s="448"/>
      <c r="S161" s="448"/>
      <c r="T161" s="449"/>
      <c r="U161" s="448"/>
    </row>
    <row r="162" spans="1:21" s="232" customFormat="1" ht="20.100000000000001" customHeight="1" x14ac:dyDescent="0.2">
      <c r="A162" s="990" t="str">
        <f>IF(A161="","",VLOOKUP(A161,liste!$A$9:$G$145,2,FALSE))</f>
        <v/>
      </c>
      <c r="B162" s="991" t="s">
        <v>288</v>
      </c>
      <c r="C162" s="991" t="s">
        <v>288</v>
      </c>
      <c r="D162" s="447"/>
      <c r="E162" s="447"/>
      <c r="F162" s="447"/>
      <c r="G162" s="447"/>
      <c r="H162" s="447"/>
      <c r="I162" s="447"/>
      <c r="J162" s="447"/>
      <c r="K162" s="425"/>
      <c r="L162" s="990" t="str">
        <f>IF(L161="","",VLOOKUP(L161,liste!$A$9:$G$145,2,FALSE))</f>
        <v/>
      </c>
      <c r="M162" s="991" t="s">
        <v>288</v>
      </c>
      <c r="N162" s="991" t="s">
        <v>288</v>
      </c>
      <c r="O162" s="447"/>
      <c r="P162" s="447"/>
      <c r="Q162" s="447"/>
      <c r="R162" s="447"/>
      <c r="S162" s="447"/>
      <c r="T162" s="428"/>
      <c r="U162" s="447"/>
    </row>
    <row r="163" spans="1:21" s="232" customFormat="1" ht="20.100000000000001" customHeight="1" x14ac:dyDescent="0.2">
      <c r="A163" s="440"/>
      <c r="B163" s="438"/>
      <c r="C163" s="450" t="str">
        <f>IF(A161="","",VLOOKUP(A161,liste!$A$9:$G$145,4,FALSE))</f>
        <v/>
      </c>
      <c r="D163" s="451"/>
      <c r="E163" s="451"/>
      <c r="F163" s="451"/>
      <c r="G163" s="451"/>
      <c r="H163" s="451"/>
      <c r="I163" s="451"/>
      <c r="J163" s="451"/>
      <c r="K163" s="425"/>
      <c r="L163" s="440"/>
      <c r="M163" s="438"/>
      <c r="N163" s="450" t="str">
        <f>IF(L161="","",VLOOKUP(L161,liste!$A$9:$G$145,4,FALSE))</f>
        <v/>
      </c>
      <c r="O163" s="451"/>
      <c r="P163" s="451"/>
      <c r="Q163" s="451"/>
      <c r="R163" s="451"/>
      <c r="S163" s="451"/>
      <c r="T163" s="452"/>
      <c r="U163" s="451"/>
    </row>
    <row r="164" spans="1:21" s="232" customFormat="1" ht="15.75" x14ac:dyDescent="0.2">
      <c r="A164" s="473" t="str">
        <f>IF(A161="","",VLOOKUP(A161,liste!$A$9:$G$145,3,FALSE))</f>
        <v/>
      </c>
      <c r="B164" s="438"/>
      <c r="C164" s="438"/>
      <c r="D164" s="455"/>
      <c r="E164" s="455"/>
      <c r="F164" s="455"/>
      <c r="G164" s="455"/>
      <c r="H164" s="455"/>
      <c r="I164" s="455"/>
      <c r="J164" s="455"/>
      <c r="K164" s="425"/>
      <c r="L164" s="468" t="str">
        <f>IF(L161="","",VLOOKUP(L161,liste!$A$9:$G$145,3,FALSE))</f>
        <v/>
      </c>
      <c r="M164" s="438"/>
      <c r="N164" s="438"/>
      <c r="O164" s="454"/>
      <c r="P164" s="454"/>
      <c r="Q164" s="454"/>
      <c r="R164" s="454"/>
      <c r="S164" s="454"/>
      <c r="T164" s="456"/>
      <c r="U164" s="454"/>
    </row>
    <row r="165" spans="1:21" s="232" customFormat="1" ht="12.75" x14ac:dyDescent="0.2">
      <c r="A165" s="425"/>
      <c r="B165" s="231"/>
      <c r="C165" s="231"/>
      <c r="D165" s="458"/>
      <c r="E165" s="458"/>
      <c r="F165" s="458"/>
      <c r="G165" s="458"/>
      <c r="H165" s="458"/>
      <c r="I165" s="458"/>
      <c r="J165" s="458"/>
      <c r="K165" s="425"/>
      <c r="L165" s="425"/>
      <c r="M165" s="231"/>
      <c r="N165" s="231"/>
      <c r="O165" s="457"/>
      <c r="P165" s="457"/>
      <c r="Q165" s="457"/>
      <c r="R165" s="457"/>
      <c r="S165" s="457"/>
      <c r="T165" s="459"/>
      <c r="U165" s="457"/>
    </row>
    <row r="166" spans="1:21" s="232" customFormat="1" ht="12.75" x14ac:dyDescent="0.2">
      <c r="A166" s="425"/>
      <c r="B166" s="231"/>
      <c r="C166" s="231"/>
      <c r="D166" s="231"/>
      <c r="E166" s="231"/>
      <c r="F166" s="231"/>
      <c r="G166" s="231"/>
      <c r="H166" s="231"/>
      <c r="I166" s="231"/>
      <c r="J166" s="428"/>
      <c r="K166" s="425"/>
      <c r="L166" s="425"/>
      <c r="M166" s="231"/>
      <c r="N166" s="231"/>
      <c r="O166" s="231"/>
      <c r="P166" s="231"/>
      <c r="Q166" s="231"/>
      <c r="R166" s="231"/>
      <c r="S166" s="231"/>
      <c r="T166" s="231"/>
      <c r="U166" s="428"/>
    </row>
    <row r="167" spans="1:21" s="232" customFormat="1" ht="20.100000000000001" customHeight="1" x14ac:dyDescent="0.2">
      <c r="A167" s="988" t="s">
        <v>90</v>
      </c>
      <c r="B167" s="989"/>
      <c r="C167" s="989"/>
      <c r="D167" s="461" t="s">
        <v>77</v>
      </c>
      <c r="E167" s="461" t="s">
        <v>87</v>
      </c>
      <c r="F167" s="461" t="s">
        <v>88</v>
      </c>
      <c r="G167" s="231"/>
      <c r="H167" s="231"/>
      <c r="I167" s="231"/>
      <c r="J167" s="428"/>
      <c r="K167" s="425"/>
      <c r="L167" s="988" t="s">
        <v>90</v>
      </c>
      <c r="M167" s="989"/>
      <c r="N167" s="989"/>
      <c r="O167" s="461" t="s">
        <v>77</v>
      </c>
      <c r="P167" s="461" t="s">
        <v>87</v>
      </c>
      <c r="Q167" s="461" t="s">
        <v>88</v>
      </c>
      <c r="R167" s="231"/>
      <c r="S167" s="231"/>
      <c r="T167" s="231"/>
      <c r="U167" s="428"/>
    </row>
    <row r="168" spans="1:21" s="232" customFormat="1" ht="20.100000000000001" customHeight="1" x14ac:dyDescent="0.2">
      <c r="A168" s="462" t="str">
        <f>A157</f>
        <v/>
      </c>
      <c r="B168" s="426"/>
      <c r="C168" s="449"/>
      <c r="D168" s="448"/>
      <c r="E168" s="448"/>
      <c r="F168" s="448"/>
      <c r="G168" s="231"/>
      <c r="H168" s="231"/>
      <c r="I168" s="231"/>
      <c r="J168" s="428"/>
      <c r="K168" s="425"/>
      <c r="L168" s="462" t="str">
        <f>L157</f>
        <v/>
      </c>
      <c r="M168" s="426"/>
      <c r="N168" s="449"/>
      <c r="O168" s="448"/>
      <c r="P168" s="448"/>
      <c r="Q168" s="448"/>
      <c r="R168" s="231"/>
      <c r="S168" s="231"/>
      <c r="T168" s="231"/>
      <c r="U168" s="428"/>
    </row>
    <row r="169" spans="1:21" s="232" customFormat="1" ht="20.100000000000001" customHeight="1" x14ac:dyDescent="0.2">
      <c r="A169" s="463"/>
      <c r="B169" s="233"/>
      <c r="C169" s="452"/>
      <c r="D169" s="451"/>
      <c r="E169" s="451"/>
      <c r="F169" s="451"/>
      <c r="G169" s="231"/>
      <c r="H169" s="231"/>
      <c r="I169" s="231"/>
      <c r="J169" s="428"/>
      <c r="K169" s="425"/>
      <c r="L169" s="463"/>
      <c r="M169" s="233"/>
      <c r="N169" s="452"/>
      <c r="O169" s="451"/>
      <c r="P169" s="451"/>
      <c r="Q169" s="451"/>
      <c r="R169" s="231"/>
      <c r="S169" s="231"/>
      <c r="T169" s="231"/>
      <c r="U169" s="428"/>
    </row>
    <row r="170" spans="1:21" s="232" customFormat="1" ht="20.100000000000001" customHeight="1" x14ac:dyDescent="0.2">
      <c r="A170" s="462" t="str">
        <f>A162</f>
        <v/>
      </c>
      <c r="B170" s="426"/>
      <c r="C170" s="449"/>
      <c r="D170" s="448"/>
      <c r="E170" s="448"/>
      <c r="F170" s="448"/>
      <c r="G170" s="231"/>
      <c r="H170" s="231"/>
      <c r="I170" s="231"/>
      <c r="J170" s="428"/>
      <c r="K170" s="425"/>
      <c r="L170" s="462" t="str">
        <f>L162</f>
        <v/>
      </c>
      <c r="M170" s="426"/>
      <c r="N170" s="449"/>
      <c r="O170" s="448"/>
      <c r="P170" s="448"/>
      <c r="Q170" s="448"/>
      <c r="R170" s="231"/>
      <c r="S170" s="231"/>
      <c r="T170" s="231"/>
      <c r="U170" s="428"/>
    </row>
    <row r="171" spans="1:21" s="232" customFormat="1" ht="20.100000000000001" customHeight="1" x14ac:dyDescent="0.2">
      <c r="A171" s="463"/>
      <c r="B171" s="233"/>
      <c r="C171" s="452"/>
      <c r="D171" s="451"/>
      <c r="E171" s="451"/>
      <c r="F171" s="451"/>
      <c r="G171" s="231"/>
      <c r="H171" s="231"/>
      <c r="I171" s="231"/>
      <c r="J171" s="428"/>
      <c r="K171" s="425"/>
      <c r="L171" s="463"/>
      <c r="M171" s="233"/>
      <c r="N171" s="452"/>
      <c r="O171" s="451"/>
      <c r="P171" s="451"/>
      <c r="Q171" s="451"/>
      <c r="R171" s="231"/>
      <c r="S171" s="231"/>
      <c r="T171" s="231"/>
      <c r="U171" s="428"/>
    </row>
    <row r="172" spans="1:21" s="232" customFormat="1" ht="12.75" x14ac:dyDescent="0.2">
      <c r="A172" s="464" t="s">
        <v>91</v>
      </c>
      <c r="B172" s="231"/>
      <c r="C172" s="231"/>
      <c r="D172" s="231"/>
      <c r="E172" s="231"/>
      <c r="F172" s="231"/>
      <c r="G172" s="231"/>
      <c r="H172" s="231"/>
      <c r="I172" s="231"/>
      <c r="J172" s="428"/>
      <c r="K172" s="425"/>
      <c r="L172" s="464" t="s">
        <v>91</v>
      </c>
      <c r="M172" s="231"/>
      <c r="N172" s="231"/>
      <c r="O172" s="231"/>
      <c r="P172" s="231"/>
      <c r="Q172" s="231"/>
      <c r="R172" s="231"/>
      <c r="S172" s="231"/>
      <c r="T172" s="231"/>
      <c r="U172" s="428"/>
    </row>
    <row r="173" spans="1:21" s="232" customFormat="1" ht="12.75" x14ac:dyDescent="0.2">
      <c r="A173" s="425"/>
      <c r="B173" s="231"/>
      <c r="C173" s="231"/>
      <c r="D173" s="231"/>
      <c r="E173" s="231"/>
      <c r="F173" s="231"/>
      <c r="G173" s="231"/>
      <c r="H173" s="231"/>
      <c r="I173" s="231"/>
      <c r="J173" s="428"/>
      <c r="K173" s="425"/>
      <c r="L173" s="425"/>
      <c r="M173" s="231"/>
      <c r="N173" s="231"/>
      <c r="O173" s="231"/>
      <c r="P173" s="231"/>
      <c r="Q173" s="231"/>
      <c r="R173" s="231"/>
      <c r="S173" s="231"/>
      <c r="T173" s="231"/>
      <c r="U173" s="428"/>
    </row>
    <row r="174" spans="1:21" s="232" customFormat="1" ht="12.75" x14ac:dyDescent="0.2">
      <c r="A174" s="465" t="s">
        <v>89</v>
      </c>
      <c r="B174" s="233"/>
      <c r="C174" s="233"/>
      <c r="D174" s="233"/>
      <c r="E174" s="233"/>
      <c r="F174" s="233"/>
      <c r="G174" s="233"/>
      <c r="H174" s="233"/>
      <c r="I174" s="233"/>
      <c r="J174" s="452"/>
      <c r="K174" s="425"/>
      <c r="L174" s="465" t="s">
        <v>89</v>
      </c>
      <c r="M174" s="233"/>
      <c r="N174" s="233"/>
      <c r="O174" s="233"/>
      <c r="P174" s="233"/>
      <c r="Q174" s="233"/>
      <c r="R174" s="233"/>
      <c r="S174" s="233"/>
      <c r="T174" s="233"/>
      <c r="U174" s="452"/>
    </row>
    <row r="175" spans="1:21" s="232" customFormat="1" ht="15.75" customHeight="1" x14ac:dyDescent="0.2">
      <c r="A175" s="1005" t="str">
        <f>$A$1</f>
        <v>Circuit décathlon</v>
      </c>
      <c r="B175" s="1006"/>
      <c r="C175" s="1006"/>
      <c r="D175" s="1006"/>
      <c r="E175" s="1006"/>
      <c r="F175" s="1006"/>
      <c r="G175" s="1006"/>
      <c r="H175" s="1006"/>
      <c r="I175" s="1006"/>
      <c r="J175" s="1007"/>
      <c r="K175" s="425"/>
      <c r="L175" s="1005" t="str">
        <f>$A$1</f>
        <v>Circuit décathlon</v>
      </c>
      <c r="M175" s="1006"/>
      <c r="N175" s="1006"/>
      <c r="O175" s="1006"/>
      <c r="P175" s="1006"/>
      <c r="Q175" s="1006"/>
      <c r="R175" s="1006"/>
      <c r="S175" s="1006"/>
      <c r="T175" s="426"/>
      <c r="U175" s="449"/>
    </row>
    <row r="176" spans="1:21" s="232" customFormat="1" ht="15.75" x14ac:dyDescent="0.2">
      <c r="A176" s="425"/>
      <c r="B176" s="231"/>
      <c r="C176" s="231"/>
      <c r="D176" s="427" t="s">
        <v>83</v>
      </c>
      <c r="E176" s="474">
        <f>Rens!F22</f>
        <v>0</v>
      </c>
      <c r="F176" s="231"/>
      <c r="G176" s="231"/>
      <c r="H176" s="231"/>
      <c r="I176" s="231"/>
      <c r="J176" s="428"/>
      <c r="K176" s="425"/>
      <c r="L176" s="425"/>
      <c r="M176" s="231"/>
      <c r="N176" s="231"/>
      <c r="O176" s="427" t="s">
        <v>83</v>
      </c>
      <c r="P176" s="474">
        <f>Rens!F23</f>
        <v>0</v>
      </c>
      <c r="Q176" s="231"/>
      <c r="R176" s="231"/>
      <c r="S176" s="231"/>
      <c r="T176" s="231"/>
      <c r="U176" s="428"/>
    </row>
    <row r="177" spans="1:21" s="232" customFormat="1" ht="18.75" x14ac:dyDescent="0.2">
      <c r="A177" s="429" t="s">
        <v>84</v>
      </c>
      <c r="B177" s="430" t="str">
        <f>$B$3</f>
        <v>Minimes</v>
      </c>
      <c r="C177" s="231"/>
      <c r="D177" s="231"/>
      <c r="E177" s="231"/>
      <c r="F177" s="231"/>
      <c r="G177" s="231"/>
      <c r="H177" s="231"/>
      <c r="I177" s="231"/>
      <c r="J177" s="428"/>
      <c r="K177" s="425"/>
      <c r="L177" s="429" t="s">
        <v>84</v>
      </c>
      <c r="M177" s="430" t="str">
        <f>$B$3</f>
        <v>Minimes</v>
      </c>
      <c r="N177" s="231"/>
      <c r="O177" s="231"/>
      <c r="P177" s="231"/>
      <c r="Q177" s="231"/>
      <c r="R177" s="231"/>
      <c r="S177" s="231"/>
      <c r="T177" s="231"/>
      <c r="U177" s="428"/>
    </row>
    <row r="178" spans="1:21" s="232" customFormat="1" ht="18.75" x14ac:dyDescent="0.2">
      <c r="A178" s="997" t="str">
        <f>A120</f>
        <v>Places 17 à 32</v>
      </c>
      <c r="B178" s="998"/>
      <c r="C178" s="998"/>
      <c r="D178" s="998"/>
      <c r="E178" s="231"/>
      <c r="F178" s="231"/>
      <c r="G178" s="499" t="str">
        <f>Rens!E22</f>
        <v>S</v>
      </c>
      <c r="H178" s="231"/>
      <c r="I178" s="231"/>
      <c r="J178" s="428"/>
      <c r="K178" s="425"/>
      <c r="L178" s="997" t="str">
        <f>A120</f>
        <v>Places 17 à 32</v>
      </c>
      <c r="M178" s="998"/>
      <c r="N178" s="998"/>
      <c r="O178" s="998"/>
      <c r="P178" s="231"/>
      <c r="Q178" s="231"/>
      <c r="R178" s="499" t="str">
        <f>Rens!E23</f>
        <v>T</v>
      </c>
      <c r="S178" s="231"/>
      <c r="T178" s="499"/>
      <c r="U178" s="428"/>
    </row>
    <row r="179" spans="1:21" s="343" customFormat="1" ht="23.25" x14ac:dyDescent="0.2">
      <c r="A179" s="432"/>
      <c r="B179" s="434">
        <f>Tableau!AB26</f>
        <v>0</v>
      </c>
      <c r="C179" s="345"/>
      <c r="D179" s="345"/>
      <c r="E179" s="344" t="s">
        <v>178</v>
      </c>
      <c r="F179" s="234">
        <f>Rens!G22</f>
        <v>0</v>
      </c>
      <c r="G179" s="345"/>
      <c r="H179" s="345"/>
      <c r="I179" s="345"/>
      <c r="J179" s="431"/>
      <c r="K179" s="432"/>
      <c r="L179" s="432"/>
      <c r="M179" s="434">
        <f>Tableau!AB22</f>
        <v>0</v>
      </c>
      <c r="N179" s="345"/>
      <c r="O179" s="345"/>
      <c r="P179" s="344" t="s">
        <v>178</v>
      </c>
      <c r="Q179" s="234">
        <f>Rens!G23</f>
        <v>0</v>
      </c>
      <c r="R179" s="345"/>
      <c r="S179" s="345"/>
      <c r="T179" s="345"/>
      <c r="U179" s="431"/>
    </row>
    <row r="180" spans="1:21" s="232" customFormat="1" ht="15.75" x14ac:dyDescent="0.2">
      <c r="A180" s="470" t="s">
        <v>85</v>
      </c>
      <c r="B180" s="436" t="e">
        <f>IF(B179="","",VLOOKUP(B179,liste!$A$9:$G$145,2,FALSE))</f>
        <v>#N/A</v>
      </c>
      <c r="C180" s="471"/>
      <c r="D180" s="471"/>
      <c r="E180" s="471"/>
      <c r="F180" s="471"/>
      <c r="G180" s="471"/>
      <c r="H180" s="471"/>
      <c r="I180" s="231"/>
      <c r="J180" s="428"/>
      <c r="K180" s="425"/>
      <c r="L180" s="470" t="s">
        <v>85</v>
      </c>
      <c r="M180" s="436" t="e">
        <f>IF(M179="","",VLOOKUP(M179,liste!$A$9:$G$145,2,FALSE))</f>
        <v>#N/A</v>
      </c>
      <c r="N180" s="471"/>
      <c r="O180" s="471"/>
      <c r="P180" s="471"/>
      <c r="Q180" s="471"/>
      <c r="R180" s="471"/>
      <c r="S180" s="471"/>
      <c r="T180" s="471"/>
      <c r="U180" s="472"/>
    </row>
    <row r="181" spans="1:21" s="232" customFormat="1" ht="20.100000000000001" customHeight="1" x14ac:dyDescent="0.2">
      <c r="A181" s="425"/>
      <c r="B181" s="231"/>
      <c r="C181" s="231"/>
      <c r="D181" s="999" t="s">
        <v>19</v>
      </c>
      <c r="E181" s="1000"/>
      <c r="F181" s="1000"/>
      <c r="G181" s="1000"/>
      <c r="H181" s="1000"/>
      <c r="I181" s="1000"/>
      <c r="J181" s="1001"/>
      <c r="K181" s="425"/>
      <c r="L181" s="443"/>
      <c r="M181" s="444"/>
      <c r="N181" s="444"/>
      <c r="O181" s="1002" t="s">
        <v>19</v>
      </c>
      <c r="P181" s="1003"/>
      <c r="Q181" s="1003"/>
      <c r="R181" s="1003"/>
      <c r="S181" s="1003"/>
      <c r="T181" s="1003"/>
      <c r="U181" s="1004"/>
    </row>
    <row r="182" spans="1:21" s="232" customFormat="1" ht="20.100000000000001" customHeight="1" x14ac:dyDescent="0.2">
      <c r="A182" s="992" t="s">
        <v>86</v>
      </c>
      <c r="B182" s="993"/>
      <c r="C182" s="993"/>
      <c r="D182" s="467">
        <v>1</v>
      </c>
      <c r="E182" s="467">
        <v>2</v>
      </c>
      <c r="F182" s="467">
        <v>3</v>
      </c>
      <c r="G182" s="467">
        <v>4</v>
      </c>
      <c r="H182" s="467">
        <v>5</v>
      </c>
      <c r="I182" s="467">
        <v>6</v>
      </c>
      <c r="J182" s="467">
        <v>7</v>
      </c>
      <c r="K182" s="425"/>
      <c r="L182" s="992" t="s">
        <v>86</v>
      </c>
      <c r="M182" s="993"/>
      <c r="N182" s="993"/>
      <c r="O182" s="445">
        <v>1</v>
      </c>
      <c r="P182" s="445">
        <v>2</v>
      </c>
      <c r="Q182" s="445">
        <v>3</v>
      </c>
      <c r="R182" s="445">
        <v>4</v>
      </c>
      <c r="S182" s="446">
        <v>5</v>
      </c>
      <c r="T182" s="497">
        <v>6</v>
      </c>
      <c r="U182" s="446">
        <v>7</v>
      </c>
    </row>
    <row r="183" spans="1:21" s="232" customFormat="1" ht="20.100000000000001" customHeight="1" x14ac:dyDescent="0.2">
      <c r="A183" s="500"/>
      <c r="B183" s="501"/>
      <c r="C183" s="501"/>
      <c r="D183" s="994" t="s">
        <v>92</v>
      </c>
      <c r="E183" s="995"/>
      <c r="F183" s="995"/>
      <c r="G183" s="995"/>
      <c r="H183" s="995"/>
      <c r="I183" s="995"/>
      <c r="J183" s="996"/>
      <c r="K183" s="425"/>
      <c r="L183" s="500"/>
      <c r="M183" s="501"/>
      <c r="N183" s="501"/>
      <c r="O183" s="994" t="s">
        <v>92</v>
      </c>
      <c r="P183" s="995"/>
      <c r="Q183" s="995"/>
      <c r="R183" s="995"/>
      <c r="S183" s="995"/>
      <c r="T183" s="995"/>
      <c r="U183" s="996"/>
    </row>
    <row r="184" spans="1:21" s="232" customFormat="1" ht="18.75" x14ac:dyDescent="0.2">
      <c r="A184" s="498" t="str">
        <f>Tableau!P30</f>
        <v/>
      </c>
      <c r="B184" s="231"/>
      <c r="C184" s="231"/>
      <c r="D184" s="447"/>
      <c r="E184" s="447"/>
      <c r="F184" s="447"/>
      <c r="G184" s="447"/>
      <c r="H184" s="447"/>
      <c r="I184" s="447"/>
      <c r="J184" s="447"/>
      <c r="K184" s="425"/>
      <c r="L184" s="498" t="str">
        <f>Tableau!P36</f>
        <v/>
      </c>
      <c r="M184" s="231"/>
      <c r="N184" s="231"/>
      <c r="O184" s="448"/>
      <c r="P184" s="448"/>
      <c r="Q184" s="448"/>
      <c r="R184" s="448"/>
      <c r="S184" s="448"/>
      <c r="T184" s="449"/>
      <c r="U184" s="448"/>
    </row>
    <row r="185" spans="1:21" s="232" customFormat="1" ht="20.100000000000001" customHeight="1" x14ac:dyDescent="0.2">
      <c r="A185" s="990" t="str">
        <f>IF(A184="","",VLOOKUP(A184,liste!$A$9:$G$145,2,FALSE))</f>
        <v/>
      </c>
      <c r="B185" s="991" t="s">
        <v>288</v>
      </c>
      <c r="C185" s="991" t="s">
        <v>288</v>
      </c>
      <c r="D185" s="447"/>
      <c r="E185" s="447"/>
      <c r="F185" s="447"/>
      <c r="G185" s="447"/>
      <c r="H185" s="447"/>
      <c r="I185" s="447"/>
      <c r="J185" s="447"/>
      <c r="K185" s="425"/>
      <c r="L185" s="990" t="str">
        <f>IF(L184="","",VLOOKUP(L184,liste!$A$9:$G$145,2,FALSE))</f>
        <v/>
      </c>
      <c r="M185" s="991" t="s">
        <v>288</v>
      </c>
      <c r="N185" s="991" t="s">
        <v>288</v>
      </c>
      <c r="O185" s="447"/>
      <c r="P185" s="447"/>
      <c r="Q185" s="447"/>
      <c r="R185" s="447"/>
      <c r="S185" s="447"/>
      <c r="T185" s="428"/>
      <c r="U185" s="447"/>
    </row>
    <row r="186" spans="1:21" s="232" customFormat="1" ht="20.100000000000001" customHeight="1" x14ac:dyDescent="0.2">
      <c r="A186" s="440"/>
      <c r="B186" s="438"/>
      <c r="C186" s="450" t="str">
        <f>IF(A184="","",VLOOKUP(A184,liste!$A$9:$G$145,4,FALSE))</f>
        <v/>
      </c>
      <c r="D186" s="451"/>
      <c r="E186" s="451"/>
      <c r="F186" s="451"/>
      <c r="G186" s="451"/>
      <c r="H186" s="451"/>
      <c r="I186" s="451"/>
      <c r="J186" s="451"/>
      <c r="K186" s="425"/>
      <c r="L186" s="440"/>
      <c r="M186" s="438"/>
      <c r="N186" s="450" t="str">
        <f>IF(L184="","",VLOOKUP(L184,liste!$A$9:$G$145,4,FALSE))</f>
        <v/>
      </c>
      <c r="O186" s="451"/>
      <c r="P186" s="451"/>
      <c r="Q186" s="451"/>
      <c r="R186" s="451"/>
      <c r="S186" s="451"/>
      <c r="T186" s="452"/>
      <c r="U186" s="451"/>
    </row>
    <row r="187" spans="1:21" s="232" customFormat="1" ht="15.75" x14ac:dyDescent="0.2">
      <c r="A187" s="453" t="str">
        <f>IF(A184="","",VLOOKUP(A184,liste!$A$9:$G$145,3,FALSE))</f>
        <v/>
      </c>
      <c r="B187" s="438"/>
      <c r="C187" s="438"/>
      <c r="D187" s="455"/>
      <c r="E187" s="455"/>
      <c r="F187" s="455"/>
      <c r="G187" s="455"/>
      <c r="H187" s="455"/>
      <c r="I187" s="455"/>
      <c r="J187" s="455"/>
      <c r="K187" s="425"/>
      <c r="L187" s="453" t="str">
        <f>IF(L184="","",VLOOKUP(L184,liste!$A$9:$G$145,3,FALSE))</f>
        <v/>
      </c>
      <c r="M187" s="438"/>
      <c r="N187" s="438"/>
      <c r="O187" s="454"/>
      <c r="P187" s="454"/>
      <c r="Q187" s="454"/>
      <c r="R187" s="454"/>
      <c r="S187" s="454"/>
      <c r="T187" s="456"/>
      <c r="U187" s="454"/>
    </row>
    <row r="188" spans="1:21" s="232" customFormat="1" ht="12.75" x14ac:dyDescent="0.2">
      <c r="A188" s="425"/>
      <c r="B188" s="230" t="s">
        <v>9</v>
      </c>
      <c r="C188" s="231"/>
      <c r="D188" s="458"/>
      <c r="E188" s="458"/>
      <c r="F188" s="458"/>
      <c r="G188" s="458"/>
      <c r="H188" s="458"/>
      <c r="I188" s="458"/>
      <c r="J188" s="458"/>
      <c r="K188" s="425"/>
      <c r="L188" s="425"/>
      <c r="M188" s="230" t="s">
        <v>9</v>
      </c>
      <c r="N188" s="231"/>
      <c r="O188" s="457"/>
      <c r="P188" s="457"/>
      <c r="Q188" s="457"/>
      <c r="R188" s="457"/>
      <c r="S188" s="457"/>
      <c r="T188" s="459"/>
      <c r="U188" s="457"/>
    </row>
    <row r="189" spans="1:21" s="232" customFormat="1" ht="18.75" x14ac:dyDescent="0.2">
      <c r="A189" s="498" t="str">
        <f>Tableau!P32</f>
        <v/>
      </c>
      <c r="B189" s="231"/>
      <c r="C189" s="231"/>
      <c r="D189" s="448"/>
      <c r="E189" s="448"/>
      <c r="F189" s="448"/>
      <c r="G189" s="448"/>
      <c r="H189" s="448"/>
      <c r="I189" s="448"/>
      <c r="J189" s="448"/>
      <c r="K189" s="425"/>
      <c r="L189" s="498" t="str">
        <f>Tableau!P38</f>
        <v/>
      </c>
      <c r="M189" s="231"/>
      <c r="N189" s="231"/>
      <c r="O189" s="448"/>
      <c r="P189" s="448"/>
      <c r="Q189" s="448"/>
      <c r="R189" s="448"/>
      <c r="S189" s="448"/>
      <c r="T189" s="449"/>
      <c r="U189" s="448"/>
    </row>
    <row r="190" spans="1:21" s="232" customFormat="1" ht="20.100000000000001" customHeight="1" x14ac:dyDescent="0.2">
      <c r="A190" s="990" t="str">
        <f>IF(A189="","",VLOOKUP(A189,liste!$A$9:$G$145,2,FALSE))</f>
        <v/>
      </c>
      <c r="B190" s="991" t="s">
        <v>288</v>
      </c>
      <c r="C190" s="991" t="s">
        <v>288</v>
      </c>
      <c r="D190" s="447"/>
      <c r="E190" s="447"/>
      <c r="F190" s="447"/>
      <c r="G190" s="447"/>
      <c r="H190" s="447"/>
      <c r="I190" s="447"/>
      <c r="J190" s="447"/>
      <c r="K190" s="425"/>
      <c r="L190" s="990" t="str">
        <f>IF(L189="","",VLOOKUP(L189,liste!$A$9:$G$145,2,FALSE))</f>
        <v/>
      </c>
      <c r="M190" s="991" t="s">
        <v>288</v>
      </c>
      <c r="N190" s="991" t="s">
        <v>288</v>
      </c>
      <c r="O190" s="447"/>
      <c r="P190" s="447"/>
      <c r="Q190" s="447"/>
      <c r="R190" s="447"/>
      <c r="S190" s="447"/>
      <c r="T190" s="428"/>
      <c r="U190" s="447"/>
    </row>
    <row r="191" spans="1:21" s="232" customFormat="1" ht="20.100000000000001" customHeight="1" x14ac:dyDescent="0.2">
      <c r="A191" s="440"/>
      <c r="B191" s="438"/>
      <c r="C191" s="450" t="str">
        <f>IF(A189="","",VLOOKUP(A189,liste!$A$9:$G$145,4,FALSE))</f>
        <v/>
      </c>
      <c r="D191" s="451"/>
      <c r="E191" s="451"/>
      <c r="F191" s="451"/>
      <c r="G191" s="451"/>
      <c r="H191" s="451"/>
      <c r="I191" s="451"/>
      <c r="J191" s="451"/>
      <c r="K191" s="425"/>
      <c r="L191" s="440"/>
      <c r="M191" s="438"/>
      <c r="N191" s="450" t="str">
        <f>IF(L189="","",VLOOKUP(L189,liste!$A$9:$G$145,4,FALSE))</f>
        <v/>
      </c>
      <c r="O191" s="451"/>
      <c r="P191" s="451"/>
      <c r="Q191" s="451"/>
      <c r="R191" s="451"/>
      <c r="S191" s="451"/>
      <c r="T191" s="452"/>
      <c r="U191" s="451"/>
    </row>
    <row r="192" spans="1:21" s="232" customFormat="1" ht="15.75" x14ac:dyDescent="0.2">
      <c r="A192" s="453" t="str">
        <f>IF(A189="","",VLOOKUP(A189,liste!$A$9:$G$145,3,FALSE))</f>
        <v/>
      </c>
      <c r="B192" s="438"/>
      <c r="C192" s="438"/>
      <c r="D192" s="455"/>
      <c r="E192" s="455"/>
      <c r="F192" s="455"/>
      <c r="G192" s="455"/>
      <c r="H192" s="455"/>
      <c r="I192" s="455"/>
      <c r="J192" s="455"/>
      <c r="K192" s="425"/>
      <c r="L192" s="453" t="str">
        <f>IF(L189="","",VLOOKUP(L189,liste!$A$9:$G$145,3,FALSE))</f>
        <v/>
      </c>
      <c r="M192" s="438"/>
      <c r="N192" s="438"/>
      <c r="O192" s="454"/>
      <c r="P192" s="454"/>
      <c r="Q192" s="454"/>
      <c r="R192" s="454"/>
      <c r="S192" s="454"/>
      <c r="T192" s="456"/>
      <c r="U192" s="454"/>
    </row>
    <row r="193" spans="1:21" s="232" customFormat="1" ht="12.75" x14ac:dyDescent="0.2">
      <c r="A193" s="425"/>
      <c r="B193" s="231"/>
      <c r="C193" s="231"/>
      <c r="D193" s="458"/>
      <c r="E193" s="458"/>
      <c r="F193" s="458"/>
      <c r="G193" s="458"/>
      <c r="H193" s="458"/>
      <c r="I193" s="458"/>
      <c r="J193" s="458"/>
      <c r="K193" s="425"/>
      <c r="L193" s="425"/>
      <c r="M193" s="231"/>
      <c r="N193" s="231"/>
      <c r="O193" s="457"/>
      <c r="P193" s="457"/>
      <c r="Q193" s="457"/>
      <c r="R193" s="457"/>
      <c r="S193" s="457"/>
      <c r="T193" s="459"/>
      <c r="U193" s="457"/>
    </row>
    <row r="194" spans="1:21" s="232" customFormat="1" ht="12.75" x14ac:dyDescent="0.2">
      <c r="A194" s="425"/>
      <c r="B194" s="231"/>
      <c r="C194" s="231"/>
      <c r="D194" s="231"/>
      <c r="E194" s="231"/>
      <c r="F194" s="231"/>
      <c r="G194" s="231"/>
      <c r="H194" s="231"/>
      <c r="I194" s="231"/>
      <c r="J194" s="428"/>
      <c r="K194" s="425"/>
      <c r="L194" s="425"/>
      <c r="M194" s="231"/>
      <c r="N194" s="231"/>
      <c r="O194" s="231"/>
      <c r="P194" s="231"/>
      <c r="Q194" s="231"/>
      <c r="R194" s="231"/>
      <c r="S194" s="231"/>
      <c r="T194" s="231"/>
      <c r="U194" s="428"/>
    </row>
    <row r="195" spans="1:21" s="232" customFormat="1" ht="20.100000000000001" customHeight="1" x14ac:dyDescent="0.2">
      <c r="A195" s="988" t="s">
        <v>90</v>
      </c>
      <c r="B195" s="989"/>
      <c r="C195" s="989"/>
      <c r="D195" s="461" t="s">
        <v>77</v>
      </c>
      <c r="E195" s="461" t="s">
        <v>87</v>
      </c>
      <c r="F195" s="461" t="s">
        <v>88</v>
      </c>
      <c r="G195" s="231"/>
      <c r="H195" s="231"/>
      <c r="I195" s="231"/>
      <c r="J195" s="428"/>
      <c r="K195" s="425"/>
      <c r="L195" s="988" t="s">
        <v>90</v>
      </c>
      <c r="M195" s="989"/>
      <c r="N195" s="989"/>
      <c r="O195" s="461" t="s">
        <v>77</v>
      </c>
      <c r="P195" s="461" t="s">
        <v>87</v>
      </c>
      <c r="Q195" s="461" t="s">
        <v>88</v>
      </c>
      <c r="R195" s="231"/>
      <c r="S195" s="231"/>
      <c r="T195" s="231"/>
      <c r="U195" s="428"/>
    </row>
    <row r="196" spans="1:21" s="232" customFormat="1" ht="20.100000000000001" customHeight="1" x14ac:dyDescent="0.2">
      <c r="A196" s="462" t="str">
        <f>A185</f>
        <v/>
      </c>
      <c r="B196" s="426"/>
      <c r="C196" s="449"/>
      <c r="D196" s="448"/>
      <c r="E196" s="448"/>
      <c r="F196" s="448"/>
      <c r="G196" s="231"/>
      <c r="H196" s="231"/>
      <c r="I196" s="231"/>
      <c r="J196" s="428"/>
      <c r="K196" s="425"/>
      <c r="L196" s="462" t="str">
        <f>L185</f>
        <v/>
      </c>
      <c r="M196" s="426"/>
      <c r="N196" s="449"/>
      <c r="O196" s="448"/>
      <c r="P196" s="448"/>
      <c r="Q196" s="448"/>
      <c r="R196" s="231"/>
      <c r="S196" s="231"/>
      <c r="T196" s="231"/>
      <c r="U196" s="428"/>
    </row>
    <row r="197" spans="1:21" s="232" customFormat="1" ht="20.100000000000001" customHeight="1" x14ac:dyDescent="0.2">
      <c r="A197" s="463"/>
      <c r="B197" s="233"/>
      <c r="C197" s="452"/>
      <c r="D197" s="451"/>
      <c r="E197" s="451"/>
      <c r="F197" s="451"/>
      <c r="G197" s="231"/>
      <c r="H197" s="231"/>
      <c r="I197" s="231"/>
      <c r="J197" s="428"/>
      <c r="K197" s="425"/>
      <c r="L197" s="463"/>
      <c r="M197" s="233"/>
      <c r="N197" s="452"/>
      <c r="O197" s="451"/>
      <c r="P197" s="451"/>
      <c r="Q197" s="451"/>
      <c r="R197" s="231"/>
      <c r="S197" s="231"/>
      <c r="T197" s="231"/>
      <c r="U197" s="428"/>
    </row>
    <row r="198" spans="1:21" s="232" customFormat="1" ht="20.100000000000001" customHeight="1" x14ac:dyDescent="0.2">
      <c r="A198" s="462" t="str">
        <f>A190</f>
        <v/>
      </c>
      <c r="B198" s="426"/>
      <c r="C198" s="449"/>
      <c r="D198" s="448"/>
      <c r="E198" s="448"/>
      <c r="F198" s="448"/>
      <c r="G198" s="231"/>
      <c r="H198" s="231"/>
      <c r="I198" s="231"/>
      <c r="J198" s="428"/>
      <c r="K198" s="425"/>
      <c r="L198" s="462" t="str">
        <f>L190</f>
        <v/>
      </c>
      <c r="M198" s="426"/>
      <c r="N198" s="449"/>
      <c r="O198" s="448"/>
      <c r="P198" s="448"/>
      <c r="Q198" s="448"/>
      <c r="R198" s="231"/>
      <c r="S198" s="231"/>
      <c r="T198" s="231"/>
      <c r="U198" s="428"/>
    </row>
    <row r="199" spans="1:21" s="232" customFormat="1" ht="20.100000000000001" customHeight="1" x14ac:dyDescent="0.2">
      <c r="A199" s="463"/>
      <c r="B199" s="233"/>
      <c r="C199" s="452"/>
      <c r="D199" s="451"/>
      <c r="E199" s="451"/>
      <c r="F199" s="451"/>
      <c r="G199" s="231"/>
      <c r="H199" s="231"/>
      <c r="I199" s="231"/>
      <c r="J199" s="428"/>
      <c r="K199" s="425"/>
      <c r="L199" s="463"/>
      <c r="M199" s="233"/>
      <c r="N199" s="452"/>
      <c r="O199" s="451"/>
      <c r="P199" s="451"/>
      <c r="Q199" s="451"/>
      <c r="R199" s="231"/>
      <c r="S199" s="231"/>
      <c r="T199" s="231"/>
      <c r="U199" s="428"/>
    </row>
    <row r="200" spans="1:21" s="232" customFormat="1" ht="12.75" x14ac:dyDescent="0.2">
      <c r="A200" s="464" t="s">
        <v>91</v>
      </c>
      <c r="B200" s="231"/>
      <c r="C200" s="231"/>
      <c r="D200" s="231"/>
      <c r="E200" s="231"/>
      <c r="F200" s="231"/>
      <c r="G200" s="231"/>
      <c r="H200" s="231"/>
      <c r="I200" s="231"/>
      <c r="J200" s="428"/>
      <c r="K200" s="425"/>
      <c r="L200" s="464" t="s">
        <v>91</v>
      </c>
      <c r="M200" s="231"/>
      <c r="N200" s="231"/>
      <c r="O200" s="231"/>
      <c r="P200" s="231"/>
      <c r="Q200" s="231"/>
      <c r="R200" s="231"/>
      <c r="S200" s="231"/>
      <c r="T200" s="231"/>
      <c r="U200" s="428"/>
    </row>
    <row r="201" spans="1:21" s="232" customFormat="1" ht="12.75" x14ac:dyDescent="0.2">
      <c r="A201" s="425"/>
      <c r="B201" s="231"/>
      <c r="C201" s="231"/>
      <c r="D201" s="231"/>
      <c r="E201" s="231"/>
      <c r="F201" s="231"/>
      <c r="G201" s="231"/>
      <c r="H201" s="231"/>
      <c r="I201" s="231"/>
      <c r="J201" s="428"/>
      <c r="K201" s="425"/>
      <c r="L201" s="425"/>
      <c r="M201" s="231"/>
      <c r="N201" s="231"/>
      <c r="O201" s="231"/>
      <c r="P201" s="231"/>
      <c r="Q201" s="231"/>
      <c r="R201" s="231"/>
      <c r="S201" s="231"/>
      <c r="T201" s="231"/>
      <c r="U201" s="428"/>
    </row>
    <row r="202" spans="1:21" s="232" customFormat="1" ht="12.75" x14ac:dyDescent="0.2">
      <c r="A202" s="465" t="s">
        <v>89</v>
      </c>
      <c r="B202" s="233"/>
      <c r="C202" s="233"/>
      <c r="D202" s="233"/>
      <c r="E202" s="233"/>
      <c r="F202" s="233"/>
      <c r="G202" s="233"/>
      <c r="H202" s="233"/>
      <c r="I202" s="233"/>
      <c r="J202" s="452"/>
      <c r="K202" s="425"/>
      <c r="L202" s="465" t="s">
        <v>89</v>
      </c>
      <c r="M202" s="233"/>
      <c r="N202" s="233"/>
      <c r="O202" s="233"/>
      <c r="P202" s="233"/>
      <c r="Q202" s="233"/>
      <c r="R202" s="233"/>
      <c r="S202" s="233"/>
      <c r="T202" s="233"/>
      <c r="U202" s="452"/>
    </row>
    <row r="203" spans="1:21" s="232" customFormat="1" ht="30" customHeight="1" x14ac:dyDescent="0.2"/>
    <row r="204" spans="1:21" s="232" customFormat="1" ht="30" customHeight="1" x14ac:dyDescent="0.2"/>
    <row r="205" spans="1:21" s="232" customFormat="1" ht="20.100000000000001" customHeight="1" x14ac:dyDescent="0.2">
      <c r="A205" s="1005" t="str">
        <f>$A$1</f>
        <v>Circuit décathlon</v>
      </c>
      <c r="B205" s="1006"/>
      <c r="C205" s="1006"/>
      <c r="D205" s="1006"/>
      <c r="E205" s="1006"/>
      <c r="F205" s="1006"/>
      <c r="G205" s="1006"/>
      <c r="H205" s="1006"/>
      <c r="I205" s="1006"/>
      <c r="J205" s="1007"/>
      <c r="K205" s="425"/>
      <c r="L205" s="1005" t="str">
        <f>$A$1</f>
        <v>Circuit décathlon</v>
      </c>
      <c r="M205" s="1006"/>
      <c r="N205" s="1006"/>
      <c r="O205" s="1006"/>
      <c r="P205" s="1006"/>
      <c r="Q205" s="1006"/>
      <c r="R205" s="1006"/>
      <c r="S205" s="1006"/>
      <c r="T205" s="426"/>
      <c r="U205" s="449"/>
    </row>
    <row r="206" spans="1:21" s="232" customFormat="1" ht="15.75" x14ac:dyDescent="0.2">
      <c r="A206" s="425"/>
      <c r="B206" s="231"/>
      <c r="C206" s="231"/>
      <c r="D206" s="427" t="s">
        <v>83</v>
      </c>
      <c r="E206" s="474">
        <f>Rens!F24</f>
        <v>0</v>
      </c>
      <c r="F206" s="231"/>
      <c r="G206" s="231"/>
      <c r="H206" s="231"/>
      <c r="I206" s="231"/>
      <c r="J206" s="428"/>
      <c r="K206" s="425"/>
      <c r="L206" s="425"/>
      <c r="M206" s="231"/>
      <c r="N206" s="231"/>
      <c r="O206" s="427" t="s">
        <v>83</v>
      </c>
      <c r="P206" s="474">
        <f>Rens!F25</f>
        <v>0</v>
      </c>
      <c r="Q206" s="231"/>
      <c r="R206" s="231"/>
      <c r="S206" s="231"/>
      <c r="T206" s="231"/>
      <c r="U206" s="428"/>
    </row>
    <row r="207" spans="1:21" s="232" customFormat="1" ht="18.75" x14ac:dyDescent="0.2">
      <c r="A207" s="429" t="s">
        <v>84</v>
      </c>
      <c r="B207" s="430" t="str">
        <f>$B$3</f>
        <v>Minimes</v>
      </c>
      <c r="C207" s="231"/>
      <c r="D207" s="231"/>
      <c r="E207" s="231"/>
      <c r="F207" s="231"/>
      <c r="G207" s="231"/>
      <c r="H207" s="231"/>
      <c r="I207" s="231"/>
      <c r="J207" s="428"/>
      <c r="K207" s="425"/>
      <c r="L207" s="429" t="s">
        <v>84</v>
      </c>
      <c r="M207" s="430" t="str">
        <f>$B$3</f>
        <v>Minimes</v>
      </c>
      <c r="N207" s="231"/>
      <c r="O207" s="231"/>
      <c r="P207" s="231"/>
      <c r="Q207" s="231"/>
      <c r="R207" s="231"/>
      <c r="S207" s="231"/>
      <c r="T207" s="231"/>
      <c r="U207" s="428"/>
    </row>
    <row r="208" spans="1:21" s="232" customFormat="1" ht="18.75" x14ac:dyDescent="0.2">
      <c r="A208" s="997" t="str">
        <f>A120</f>
        <v>Places 17 à 32</v>
      </c>
      <c r="B208" s="998"/>
      <c r="C208" s="998"/>
      <c r="D208" s="998"/>
      <c r="E208" s="231"/>
      <c r="F208" s="231"/>
      <c r="G208" s="499" t="str">
        <f>Rens!E24</f>
        <v>U</v>
      </c>
      <c r="H208" s="231"/>
      <c r="I208" s="231"/>
      <c r="J208" s="428"/>
      <c r="K208" s="425"/>
      <c r="L208" s="997" t="str">
        <f>A120</f>
        <v>Places 17 à 32</v>
      </c>
      <c r="M208" s="998"/>
      <c r="N208" s="998"/>
      <c r="O208" s="998"/>
      <c r="P208" s="231"/>
      <c r="Q208" s="231"/>
      <c r="R208" s="499" t="str">
        <f>Rens!E25</f>
        <v>V</v>
      </c>
      <c r="S208" s="231"/>
      <c r="T208" s="499"/>
      <c r="U208" s="428"/>
    </row>
    <row r="209" spans="1:21" s="343" customFormat="1" ht="23.25" x14ac:dyDescent="0.2">
      <c r="A209" s="432"/>
      <c r="B209" s="434">
        <f>Tableau!AB16</f>
        <v>0</v>
      </c>
      <c r="C209" s="345"/>
      <c r="D209" s="345"/>
      <c r="E209" s="344" t="s">
        <v>178</v>
      </c>
      <c r="F209" s="234">
        <f>Rens!G24</f>
        <v>0</v>
      </c>
      <c r="G209" s="345"/>
      <c r="H209" s="345"/>
      <c r="I209" s="345"/>
      <c r="J209" s="431"/>
      <c r="K209" s="432"/>
      <c r="L209" s="432"/>
      <c r="M209" s="434">
        <f>Tableau!AB12</f>
        <v>0</v>
      </c>
      <c r="N209" s="345"/>
      <c r="O209" s="345"/>
      <c r="P209" s="344" t="s">
        <v>178</v>
      </c>
      <c r="Q209" s="234">
        <f>Rens!G25</f>
        <v>0</v>
      </c>
      <c r="R209" s="345"/>
      <c r="S209" s="345"/>
      <c r="T209" s="345"/>
      <c r="U209" s="431"/>
    </row>
    <row r="210" spans="1:21" s="232" customFormat="1" ht="15.75" x14ac:dyDescent="0.2">
      <c r="A210" s="470" t="s">
        <v>85</v>
      </c>
      <c r="B210" s="436" t="e">
        <f>IF(B209="","",VLOOKUP(B209,liste!$A$9:$G$145,2,FALSE))</f>
        <v>#N/A</v>
      </c>
      <c r="C210" s="471"/>
      <c r="D210" s="471"/>
      <c r="E210" s="471"/>
      <c r="F210" s="471"/>
      <c r="G210" s="471"/>
      <c r="H210" s="471"/>
      <c r="I210" s="231"/>
      <c r="J210" s="428"/>
      <c r="K210" s="425"/>
      <c r="L210" s="470" t="s">
        <v>85</v>
      </c>
      <c r="M210" s="436" t="e">
        <f>IF(M209="","",VLOOKUP(M209,liste!$A$9:$G$145,2,FALSE))</f>
        <v>#N/A</v>
      </c>
      <c r="N210" s="471"/>
      <c r="O210" s="471"/>
      <c r="P210" s="471"/>
      <c r="Q210" s="471"/>
      <c r="R210" s="471"/>
      <c r="S210" s="471"/>
      <c r="T210" s="471"/>
      <c r="U210" s="472"/>
    </row>
    <row r="211" spans="1:21" s="232" customFormat="1" ht="20.100000000000001" customHeight="1" x14ac:dyDescent="0.2">
      <c r="A211" s="425"/>
      <c r="D211" s="999" t="s">
        <v>19</v>
      </c>
      <c r="E211" s="1000"/>
      <c r="F211" s="1000"/>
      <c r="G211" s="1000"/>
      <c r="H211" s="1000"/>
      <c r="I211" s="1000"/>
      <c r="J211" s="1001"/>
      <c r="K211" s="425"/>
      <c r="L211" s="443"/>
      <c r="M211" s="444"/>
      <c r="N211" s="444"/>
      <c r="O211" s="1002" t="s">
        <v>19</v>
      </c>
      <c r="P211" s="1003"/>
      <c r="Q211" s="1003"/>
      <c r="R211" s="1003"/>
      <c r="S211" s="1003"/>
      <c r="T211" s="1003"/>
      <c r="U211" s="1004"/>
    </row>
    <row r="212" spans="1:21" s="232" customFormat="1" ht="20.100000000000001" customHeight="1" x14ac:dyDescent="0.2">
      <c r="A212" s="992" t="s">
        <v>86</v>
      </c>
      <c r="B212" s="993"/>
      <c r="C212" s="993"/>
      <c r="D212" s="467">
        <v>1</v>
      </c>
      <c r="E212" s="467">
        <v>2</v>
      </c>
      <c r="F212" s="467">
        <v>3</v>
      </c>
      <c r="G212" s="467">
        <v>4</v>
      </c>
      <c r="H212" s="467">
        <v>5</v>
      </c>
      <c r="I212" s="467">
        <v>6</v>
      </c>
      <c r="J212" s="467">
        <v>7</v>
      </c>
      <c r="K212" s="425"/>
      <c r="L212" s="992" t="s">
        <v>86</v>
      </c>
      <c r="M212" s="993"/>
      <c r="N212" s="993"/>
      <c r="O212" s="445">
        <v>1</v>
      </c>
      <c r="P212" s="445">
        <v>2</v>
      </c>
      <c r="Q212" s="445">
        <v>3</v>
      </c>
      <c r="R212" s="445">
        <v>4</v>
      </c>
      <c r="S212" s="446">
        <v>5</v>
      </c>
      <c r="T212" s="497">
        <v>6</v>
      </c>
      <c r="U212" s="446">
        <v>7</v>
      </c>
    </row>
    <row r="213" spans="1:21" s="232" customFormat="1" ht="20.100000000000001" customHeight="1" x14ac:dyDescent="0.2">
      <c r="A213" s="500"/>
      <c r="B213" s="501"/>
      <c r="C213" s="501"/>
      <c r="D213" s="994" t="s">
        <v>92</v>
      </c>
      <c r="E213" s="995"/>
      <c r="F213" s="995"/>
      <c r="G213" s="995"/>
      <c r="H213" s="995"/>
      <c r="I213" s="995"/>
      <c r="J213" s="996"/>
      <c r="K213" s="425"/>
      <c r="L213" s="500"/>
      <c r="M213" s="501"/>
      <c r="N213" s="501"/>
      <c r="O213" s="994" t="s">
        <v>92</v>
      </c>
      <c r="P213" s="995"/>
      <c r="Q213" s="995"/>
      <c r="R213" s="995"/>
      <c r="S213" s="995"/>
      <c r="T213" s="995"/>
      <c r="U213" s="996"/>
    </row>
    <row r="214" spans="1:21" s="232" customFormat="1" ht="18.75" x14ac:dyDescent="0.2">
      <c r="A214" s="498" t="str">
        <f>Tableau!P40</f>
        <v/>
      </c>
      <c r="C214" s="231"/>
      <c r="D214" s="448"/>
      <c r="E214" s="448"/>
      <c r="F214" s="448"/>
      <c r="G214" s="448"/>
      <c r="H214" s="448"/>
      <c r="I214" s="448"/>
      <c r="J214" s="448"/>
      <c r="K214" s="425"/>
      <c r="L214" s="498" t="str">
        <f>Tableau!P46</f>
        <v/>
      </c>
      <c r="M214" s="231"/>
      <c r="N214" s="231"/>
      <c r="O214" s="448"/>
      <c r="P214" s="448"/>
      <c r="Q214" s="448"/>
      <c r="R214" s="448"/>
      <c r="S214" s="448"/>
      <c r="T214" s="449"/>
      <c r="U214" s="448"/>
    </row>
    <row r="215" spans="1:21" s="232" customFormat="1" ht="20.100000000000001" customHeight="1" x14ac:dyDescent="0.2">
      <c r="A215" s="990" t="str">
        <f>IF(A214="","",VLOOKUP(A214,liste!$A$9:$G$145,2,FALSE))</f>
        <v/>
      </c>
      <c r="B215" s="991" t="s">
        <v>288</v>
      </c>
      <c r="C215" s="991" t="s">
        <v>288</v>
      </c>
      <c r="D215" s="447"/>
      <c r="E215" s="447"/>
      <c r="F215" s="447"/>
      <c r="G215" s="447"/>
      <c r="H215" s="447"/>
      <c r="I215" s="447"/>
      <c r="J215" s="447"/>
      <c r="K215" s="425"/>
      <c r="L215" s="990" t="str">
        <f>IF(L214="","",VLOOKUP(L214,liste!$A$9:$G$145,2,FALSE))</f>
        <v/>
      </c>
      <c r="M215" s="991" t="s">
        <v>288</v>
      </c>
      <c r="N215" s="991" t="s">
        <v>288</v>
      </c>
      <c r="O215" s="447"/>
      <c r="P215" s="447"/>
      <c r="Q215" s="447"/>
      <c r="R215" s="447"/>
      <c r="S215" s="447"/>
      <c r="T215" s="428"/>
      <c r="U215" s="447"/>
    </row>
    <row r="216" spans="1:21" s="232" customFormat="1" ht="20.100000000000001" customHeight="1" x14ac:dyDescent="0.2">
      <c r="A216" s="440"/>
      <c r="B216" s="438"/>
      <c r="C216" s="450" t="str">
        <f>IF(A214="","",VLOOKUP(A214,liste!$A$9:$G$145,4,FALSE))</f>
        <v/>
      </c>
      <c r="D216" s="451"/>
      <c r="E216" s="451"/>
      <c r="F216" s="451"/>
      <c r="G216" s="451"/>
      <c r="H216" s="451"/>
      <c r="I216" s="451"/>
      <c r="J216" s="451"/>
      <c r="K216" s="425"/>
      <c r="L216" s="440"/>
      <c r="M216" s="438"/>
      <c r="N216" s="450" t="str">
        <f>IF(L214="","",VLOOKUP(L214,liste!$A$9:$G$145,4,FALSE))</f>
        <v/>
      </c>
      <c r="O216" s="451"/>
      <c r="P216" s="451"/>
      <c r="Q216" s="451"/>
      <c r="R216" s="451"/>
      <c r="S216" s="451"/>
      <c r="T216" s="452"/>
      <c r="U216" s="451"/>
    </row>
    <row r="217" spans="1:21" s="232" customFormat="1" ht="15.75" x14ac:dyDescent="0.2">
      <c r="A217" s="468" t="str">
        <f>IF(A214="","",VLOOKUP(A214,liste!$A$9:$G$145,3,FALSE))</f>
        <v/>
      </c>
      <c r="B217" s="438"/>
      <c r="C217" s="438"/>
      <c r="D217" s="455"/>
      <c r="E217" s="455"/>
      <c r="F217" s="455"/>
      <c r="G217" s="455"/>
      <c r="H217" s="455"/>
      <c r="I217" s="455"/>
      <c r="J217" s="455"/>
      <c r="K217" s="425"/>
      <c r="L217" s="468" t="str">
        <f>IF(L214="","",VLOOKUP(L214,liste!$A$9:$G$145,3,FALSE))</f>
        <v/>
      </c>
      <c r="M217" s="438"/>
      <c r="N217" s="438"/>
      <c r="O217" s="454"/>
      <c r="P217" s="454"/>
      <c r="Q217" s="454"/>
      <c r="R217" s="454"/>
      <c r="S217" s="454"/>
      <c r="T217" s="456"/>
      <c r="U217" s="454"/>
    </row>
    <row r="218" spans="1:21" s="232" customFormat="1" ht="12.75" x14ac:dyDescent="0.2">
      <c r="A218" s="425"/>
      <c r="B218" s="230" t="s">
        <v>9</v>
      </c>
      <c r="C218" s="231"/>
      <c r="D218" s="458"/>
      <c r="E218" s="458"/>
      <c r="F218" s="458"/>
      <c r="G218" s="458"/>
      <c r="H218" s="458"/>
      <c r="I218" s="458"/>
      <c r="J218" s="458"/>
      <c r="K218" s="425"/>
      <c r="L218" s="425"/>
      <c r="M218" s="230" t="s">
        <v>9</v>
      </c>
      <c r="N218" s="231"/>
      <c r="O218" s="457"/>
      <c r="P218" s="457"/>
      <c r="Q218" s="457"/>
      <c r="R218" s="457"/>
      <c r="S218" s="457"/>
      <c r="T218" s="459"/>
      <c r="U218" s="457"/>
    </row>
    <row r="219" spans="1:21" s="232" customFormat="1" ht="18.75" x14ac:dyDescent="0.2">
      <c r="A219" s="498" t="str">
        <f>Tableau!P42</f>
        <v/>
      </c>
      <c r="B219" s="469"/>
      <c r="C219" s="231"/>
      <c r="D219" s="448"/>
      <c r="E219" s="448"/>
      <c r="F219" s="448"/>
      <c r="G219" s="448"/>
      <c r="H219" s="448"/>
      <c r="I219" s="448"/>
      <c r="J219" s="448"/>
      <c r="K219" s="425"/>
      <c r="L219" s="498" t="str">
        <f>Tableau!P48</f>
        <v/>
      </c>
      <c r="M219" s="231"/>
      <c r="N219" s="231"/>
      <c r="O219" s="448"/>
      <c r="P219" s="448"/>
      <c r="Q219" s="448"/>
      <c r="R219" s="448"/>
      <c r="S219" s="448"/>
      <c r="T219" s="449"/>
      <c r="U219" s="448"/>
    </row>
    <row r="220" spans="1:21" s="232" customFormat="1" ht="20.100000000000001" customHeight="1" x14ac:dyDescent="0.2">
      <c r="A220" s="990" t="str">
        <f>IF(A219="","",VLOOKUP(A219,liste!$A$9:$G$145,2,FALSE))</f>
        <v/>
      </c>
      <c r="B220" s="991" t="s">
        <v>288</v>
      </c>
      <c r="C220" s="991" t="s">
        <v>288</v>
      </c>
      <c r="D220" s="447"/>
      <c r="E220" s="447"/>
      <c r="F220" s="447"/>
      <c r="G220" s="447"/>
      <c r="H220" s="447"/>
      <c r="I220" s="447"/>
      <c r="J220" s="447"/>
      <c r="K220" s="425"/>
      <c r="L220" s="990" t="str">
        <f>IF(L219="","",VLOOKUP(L219,liste!$A$9:$G$145,2,FALSE))</f>
        <v/>
      </c>
      <c r="M220" s="991" t="s">
        <v>288</v>
      </c>
      <c r="N220" s="991" t="s">
        <v>288</v>
      </c>
      <c r="O220" s="447"/>
      <c r="P220" s="447"/>
      <c r="Q220" s="447"/>
      <c r="R220" s="447"/>
      <c r="S220" s="447"/>
      <c r="T220" s="428"/>
      <c r="U220" s="447"/>
    </row>
    <row r="221" spans="1:21" s="232" customFormat="1" ht="20.100000000000001" customHeight="1" x14ac:dyDescent="0.2">
      <c r="A221" s="440"/>
      <c r="B221" s="438"/>
      <c r="C221" s="450" t="str">
        <f>IF(A219="","",VLOOKUP(A219,liste!$A$9:$G$145,4,FALSE))</f>
        <v/>
      </c>
      <c r="D221" s="451"/>
      <c r="E221" s="451"/>
      <c r="F221" s="451"/>
      <c r="G221" s="451"/>
      <c r="H221" s="451"/>
      <c r="I221" s="451"/>
      <c r="J221" s="451"/>
      <c r="K221" s="425"/>
      <c r="L221" s="440"/>
      <c r="M221" s="438"/>
      <c r="N221" s="450" t="str">
        <f>IF(L219="","",VLOOKUP(L219,liste!$A$9:$G$145,4,FALSE))</f>
        <v/>
      </c>
      <c r="O221" s="451"/>
      <c r="P221" s="451"/>
      <c r="Q221" s="451"/>
      <c r="R221" s="451"/>
      <c r="S221" s="451"/>
      <c r="T221" s="452"/>
      <c r="U221" s="451"/>
    </row>
    <row r="222" spans="1:21" s="232" customFormat="1" ht="15.75" x14ac:dyDescent="0.2">
      <c r="A222" s="473" t="str">
        <f>IF(A219="","",VLOOKUP(A219,liste!$A$9:$G$145,3,FALSE))</f>
        <v/>
      </c>
      <c r="B222" s="438"/>
      <c r="C222" s="438"/>
      <c r="D222" s="455"/>
      <c r="E222" s="455"/>
      <c r="F222" s="455"/>
      <c r="G222" s="455"/>
      <c r="H222" s="455"/>
      <c r="I222" s="455"/>
      <c r="J222" s="455"/>
      <c r="K222" s="425"/>
      <c r="L222" s="468" t="str">
        <f>IF(L219="","",VLOOKUP(L219,liste!$A$9:$G$145,3,FALSE))</f>
        <v/>
      </c>
      <c r="M222" s="438"/>
      <c r="N222" s="438"/>
      <c r="O222" s="454"/>
      <c r="P222" s="454"/>
      <c r="Q222" s="454"/>
      <c r="R222" s="454"/>
      <c r="S222" s="454"/>
      <c r="T222" s="456"/>
      <c r="U222" s="454"/>
    </row>
    <row r="223" spans="1:21" s="232" customFormat="1" ht="12.75" x14ac:dyDescent="0.2">
      <c r="A223" s="425"/>
      <c r="B223" s="231"/>
      <c r="C223" s="231"/>
      <c r="D223" s="458"/>
      <c r="E223" s="458"/>
      <c r="F223" s="458"/>
      <c r="G223" s="458"/>
      <c r="H223" s="458"/>
      <c r="I223" s="458"/>
      <c r="J223" s="458"/>
      <c r="K223" s="425"/>
      <c r="L223" s="425"/>
      <c r="M223" s="231"/>
      <c r="N223" s="231"/>
      <c r="O223" s="457"/>
      <c r="P223" s="457"/>
      <c r="Q223" s="457"/>
      <c r="R223" s="457"/>
      <c r="S223" s="457"/>
      <c r="T223" s="459"/>
      <c r="U223" s="457"/>
    </row>
    <row r="224" spans="1:21" s="232" customFormat="1" ht="12.75" x14ac:dyDescent="0.2">
      <c r="A224" s="425"/>
      <c r="B224" s="231"/>
      <c r="C224" s="231"/>
      <c r="D224" s="231"/>
      <c r="E224" s="231"/>
      <c r="F224" s="231"/>
      <c r="G224" s="231"/>
      <c r="H224" s="231"/>
      <c r="I224" s="231"/>
      <c r="J224" s="428"/>
      <c r="K224" s="425"/>
      <c r="L224" s="425"/>
      <c r="M224" s="231"/>
      <c r="N224" s="231"/>
      <c r="O224" s="231"/>
      <c r="P224" s="231"/>
      <c r="Q224" s="231"/>
      <c r="R224" s="231"/>
      <c r="S224" s="231"/>
      <c r="T224" s="231"/>
      <c r="U224" s="428"/>
    </row>
    <row r="225" spans="1:21" s="232" customFormat="1" ht="20.100000000000001" customHeight="1" x14ac:dyDescent="0.2">
      <c r="A225" s="988" t="s">
        <v>90</v>
      </c>
      <c r="B225" s="989"/>
      <c r="C225" s="989"/>
      <c r="D225" s="461" t="s">
        <v>77</v>
      </c>
      <c r="E225" s="461" t="s">
        <v>87</v>
      </c>
      <c r="F225" s="461" t="s">
        <v>88</v>
      </c>
      <c r="G225" s="231"/>
      <c r="H225" s="231"/>
      <c r="I225" s="231"/>
      <c r="J225" s="428"/>
      <c r="K225" s="425"/>
      <c r="L225" s="988" t="s">
        <v>90</v>
      </c>
      <c r="M225" s="989"/>
      <c r="N225" s="989"/>
      <c r="O225" s="461" t="s">
        <v>77</v>
      </c>
      <c r="P225" s="461" t="s">
        <v>87</v>
      </c>
      <c r="Q225" s="461" t="s">
        <v>88</v>
      </c>
      <c r="R225" s="231"/>
      <c r="S225" s="231"/>
      <c r="T225" s="231"/>
      <c r="U225" s="428"/>
    </row>
    <row r="226" spans="1:21" s="232" customFormat="1" ht="20.100000000000001" customHeight="1" x14ac:dyDescent="0.2">
      <c r="A226" s="462" t="str">
        <f>A215</f>
        <v/>
      </c>
      <c r="B226" s="426"/>
      <c r="C226" s="449"/>
      <c r="D226" s="448"/>
      <c r="E226" s="448"/>
      <c r="F226" s="448"/>
      <c r="G226" s="231"/>
      <c r="H226" s="231"/>
      <c r="I226" s="231"/>
      <c r="J226" s="428"/>
      <c r="K226" s="425"/>
      <c r="L226" s="462" t="str">
        <f>L215</f>
        <v/>
      </c>
      <c r="M226" s="426"/>
      <c r="N226" s="449"/>
      <c r="O226" s="448"/>
      <c r="P226" s="448"/>
      <c r="Q226" s="448"/>
      <c r="R226" s="231"/>
      <c r="S226" s="231"/>
      <c r="T226" s="231"/>
      <c r="U226" s="428"/>
    </row>
    <row r="227" spans="1:21" s="232" customFormat="1" ht="20.100000000000001" customHeight="1" x14ac:dyDescent="0.2">
      <c r="A227" s="463"/>
      <c r="B227" s="233"/>
      <c r="C227" s="452"/>
      <c r="D227" s="451"/>
      <c r="E227" s="451"/>
      <c r="F227" s="451"/>
      <c r="G227" s="231"/>
      <c r="H227" s="231"/>
      <c r="I227" s="231"/>
      <c r="J227" s="428"/>
      <c r="K227" s="425"/>
      <c r="L227" s="463"/>
      <c r="M227" s="233"/>
      <c r="N227" s="452"/>
      <c r="O227" s="451"/>
      <c r="P227" s="451"/>
      <c r="Q227" s="451"/>
      <c r="R227" s="231"/>
      <c r="S227" s="231"/>
      <c r="T227" s="231"/>
      <c r="U227" s="428"/>
    </row>
    <row r="228" spans="1:21" s="232" customFormat="1" ht="20.100000000000001" customHeight="1" x14ac:dyDescent="0.2">
      <c r="A228" s="462" t="str">
        <f>A220</f>
        <v/>
      </c>
      <c r="B228" s="426"/>
      <c r="C228" s="449"/>
      <c r="D228" s="448"/>
      <c r="E228" s="448"/>
      <c r="F228" s="448"/>
      <c r="G228" s="231"/>
      <c r="H228" s="231"/>
      <c r="I228" s="231"/>
      <c r="J228" s="428"/>
      <c r="K228" s="425"/>
      <c r="L228" s="462" t="str">
        <f>L220</f>
        <v/>
      </c>
      <c r="M228" s="426"/>
      <c r="N228" s="449"/>
      <c r="O228" s="448"/>
      <c r="P228" s="448"/>
      <c r="Q228" s="448"/>
      <c r="R228" s="231"/>
      <c r="S228" s="231"/>
      <c r="T228" s="231"/>
      <c r="U228" s="428"/>
    </row>
    <row r="229" spans="1:21" s="232" customFormat="1" ht="20.100000000000001" customHeight="1" x14ac:dyDescent="0.2">
      <c r="A229" s="463"/>
      <c r="B229" s="233"/>
      <c r="C229" s="452"/>
      <c r="D229" s="451"/>
      <c r="E229" s="451"/>
      <c r="F229" s="451"/>
      <c r="G229" s="231"/>
      <c r="H229" s="231"/>
      <c r="I229" s="231"/>
      <c r="J229" s="428"/>
      <c r="K229" s="425"/>
      <c r="L229" s="463"/>
      <c r="M229" s="233"/>
      <c r="N229" s="452"/>
      <c r="O229" s="451"/>
      <c r="P229" s="451"/>
      <c r="Q229" s="451"/>
      <c r="R229" s="231"/>
      <c r="S229" s="231"/>
      <c r="T229" s="231"/>
      <c r="U229" s="428"/>
    </row>
    <row r="230" spans="1:21" s="232" customFormat="1" ht="12.75" x14ac:dyDescent="0.2">
      <c r="A230" s="464" t="s">
        <v>91</v>
      </c>
      <c r="B230" s="231"/>
      <c r="C230" s="231"/>
      <c r="D230" s="231"/>
      <c r="E230" s="231"/>
      <c r="F230" s="231"/>
      <c r="G230" s="231"/>
      <c r="H230" s="231"/>
      <c r="I230" s="231"/>
      <c r="J230" s="428"/>
      <c r="K230" s="425"/>
      <c r="L230" s="464" t="s">
        <v>91</v>
      </c>
      <c r="M230" s="231"/>
      <c r="N230" s="231"/>
      <c r="O230" s="231"/>
      <c r="P230" s="231"/>
      <c r="Q230" s="231"/>
      <c r="R230" s="231"/>
      <c r="S230" s="231"/>
      <c r="T230" s="231"/>
      <c r="U230" s="428"/>
    </row>
    <row r="231" spans="1:21" s="232" customFormat="1" ht="12.75" x14ac:dyDescent="0.2">
      <c r="A231" s="425"/>
      <c r="B231" s="231"/>
      <c r="C231" s="231"/>
      <c r="D231" s="231"/>
      <c r="E231" s="231"/>
      <c r="F231" s="231"/>
      <c r="G231" s="231"/>
      <c r="H231" s="231"/>
      <c r="I231" s="231"/>
      <c r="J231" s="428"/>
      <c r="K231" s="425"/>
      <c r="L231" s="425"/>
      <c r="M231" s="231"/>
      <c r="N231" s="231"/>
      <c r="O231" s="231"/>
      <c r="P231" s="231"/>
      <c r="Q231" s="231"/>
      <c r="R231" s="231"/>
      <c r="S231" s="231"/>
      <c r="T231" s="231"/>
      <c r="U231" s="428"/>
    </row>
    <row r="232" spans="1:21" s="232" customFormat="1" ht="12.75" x14ac:dyDescent="0.2">
      <c r="A232" s="465" t="s">
        <v>89</v>
      </c>
      <c r="B232" s="233"/>
      <c r="C232" s="233"/>
      <c r="D232" s="233"/>
      <c r="E232" s="233"/>
      <c r="F232" s="233"/>
      <c r="G232" s="233"/>
      <c r="H232" s="233"/>
      <c r="I232" s="233"/>
      <c r="J232" s="452"/>
      <c r="K232" s="425"/>
      <c r="L232" s="465" t="s">
        <v>89</v>
      </c>
      <c r="M232" s="233"/>
      <c r="N232" s="233"/>
      <c r="O232" s="233"/>
      <c r="P232" s="233"/>
      <c r="Q232" s="233"/>
      <c r="R232" s="233"/>
      <c r="S232" s="233"/>
      <c r="T232" s="233"/>
      <c r="U232" s="452"/>
    </row>
    <row r="233" spans="1:21" s="232" customFormat="1" ht="20.100000000000001" customHeight="1" x14ac:dyDescent="0.2">
      <c r="A233" s="1005" t="str">
        <f>$A$1</f>
        <v>Circuit décathlon</v>
      </c>
      <c r="B233" s="1006"/>
      <c r="C233" s="1006"/>
      <c r="D233" s="1006"/>
      <c r="E233" s="1006"/>
      <c r="F233" s="1006"/>
      <c r="G233" s="1006"/>
      <c r="H233" s="1006"/>
      <c r="I233" s="1006"/>
      <c r="J233" s="1007"/>
      <c r="K233" s="425"/>
      <c r="L233" s="1005" t="str">
        <f>$A$1</f>
        <v>Circuit décathlon</v>
      </c>
      <c r="M233" s="1006"/>
      <c r="N233" s="1006"/>
      <c r="O233" s="1006"/>
      <c r="P233" s="1006"/>
      <c r="Q233" s="1006"/>
      <c r="R233" s="1006"/>
      <c r="S233" s="1006"/>
      <c r="T233" s="426"/>
      <c r="U233" s="449"/>
    </row>
    <row r="234" spans="1:21" s="232" customFormat="1" ht="15.75" x14ac:dyDescent="0.2">
      <c r="A234" s="425"/>
      <c r="B234" s="231"/>
      <c r="C234" s="231"/>
      <c r="D234" s="427" t="s">
        <v>83</v>
      </c>
      <c r="E234" s="474">
        <f>Rens!J18</f>
        <v>0</v>
      </c>
      <c r="F234" s="231"/>
      <c r="G234" s="231"/>
      <c r="H234" s="231"/>
      <c r="I234" s="231"/>
      <c r="J234" s="428"/>
      <c r="K234" s="425"/>
      <c r="L234" s="425"/>
      <c r="M234" s="231"/>
      <c r="N234" s="231"/>
      <c r="O234" s="427" t="s">
        <v>83</v>
      </c>
      <c r="P234" s="474">
        <f>Rens!J19</f>
        <v>0</v>
      </c>
      <c r="Q234" s="231"/>
      <c r="R234" s="231"/>
      <c r="S234" s="231"/>
      <c r="T234" s="231"/>
      <c r="U234" s="428"/>
    </row>
    <row r="235" spans="1:21" s="343" customFormat="1" ht="18.75" x14ac:dyDescent="0.2">
      <c r="A235" s="429" t="s">
        <v>84</v>
      </c>
      <c r="B235" s="430" t="str">
        <f>liste!$A$6</f>
        <v>Minimes</v>
      </c>
      <c r="C235" s="345"/>
      <c r="D235" s="345"/>
      <c r="E235" s="345"/>
      <c r="F235" s="345"/>
      <c r="G235" s="345"/>
      <c r="H235" s="345"/>
      <c r="I235" s="345"/>
      <c r="J235" s="431"/>
      <c r="K235" s="432"/>
      <c r="L235" s="429" t="s">
        <v>84</v>
      </c>
      <c r="M235" s="430" t="str">
        <f>$B$3</f>
        <v>Minimes</v>
      </c>
      <c r="N235" s="345"/>
      <c r="O235" s="345"/>
      <c r="P235" s="345"/>
      <c r="Q235" s="345"/>
      <c r="R235" s="345"/>
      <c r="S235" s="345"/>
      <c r="T235" s="345"/>
      <c r="U235" s="431"/>
    </row>
    <row r="236" spans="1:21" s="343" customFormat="1" ht="18.75" x14ac:dyDescent="0.2">
      <c r="A236" s="997" t="str">
        <f>Tableau!AB7</f>
        <v>1/8è de Finale</v>
      </c>
      <c r="B236" s="998"/>
      <c r="C236" s="998"/>
      <c r="D236" s="998"/>
      <c r="E236" s="345"/>
      <c r="F236" s="345"/>
      <c r="G236" s="430" t="str">
        <f>Rens!I18</f>
        <v>G</v>
      </c>
      <c r="H236" s="430"/>
      <c r="I236" s="345"/>
      <c r="J236" s="431"/>
      <c r="K236" s="432"/>
      <c r="L236" s="997" t="str">
        <f>A236</f>
        <v>1/8è de Finale</v>
      </c>
      <c r="M236" s="998"/>
      <c r="N236" s="998"/>
      <c r="O236" s="998"/>
      <c r="P236" s="345"/>
      <c r="Q236" s="345"/>
      <c r="R236" s="430" t="str">
        <f>Rens!I19</f>
        <v>H</v>
      </c>
      <c r="S236" s="430"/>
      <c r="T236" s="430"/>
      <c r="U236" s="433"/>
    </row>
    <row r="237" spans="1:21" s="343" customFormat="1" ht="23.25" x14ac:dyDescent="0.2">
      <c r="A237" s="432"/>
      <c r="B237" s="434" t="str">
        <f>Tableau!P48</f>
        <v/>
      </c>
      <c r="C237" s="345"/>
      <c r="D237" s="345"/>
      <c r="E237" s="344" t="s">
        <v>178</v>
      </c>
      <c r="F237" s="234">
        <f>Rens!K18</f>
        <v>0</v>
      </c>
      <c r="G237" s="345"/>
      <c r="H237" s="345"/>
      <c r="I237" s="345"/>
      <c r="J237" s="431"/>
      <c r="K237" s="432"/>
      <c r="L237" s="432"/>
      <c r="M237" s="434" t="str">
        <f>Tableau!P40</f>
        <v/>
      </c>
      <c r="N237" s="345"/>
      <c r="O237" s="345"/>
      <c r="P237" s="344" t="s">
        <v>178</v>
      </c>
      <c r="Q237" s="234">
        <f>Rens!K19</f>
        <v>0</v>
      </c>
      <c r="R237" s="345"/>
      <c r="S237" s="345"/>
      <c r="T237" s="345"/>
      <c r="U237" s="431"/>
    </row>
    <row r="238" spans="1:21" s="442" customFormat="1" ht="15.75" x14ac:dyDescent="0.2">
      <c r="A238" s="435" t="s">
        <v>85</v>
      </c>
      <c r="B238" s="436" t="str">
        <f>IF(B237="","",VLOOKUP(B237,liste!$A$9:$G$145,2,FALSE))</f>
        <v/>
      </c>
      <c r="C238" s="437"/>
      <c r="D238" s="437"/>
      <c r="E238" s="437"/>
      <c r="F238" s="437"/>
      <c r="G238" s="437"/>
      <c r="H238" s="437"/>
      <c r="I238" s="438"/>
      <c r="J238" s="439"/>
      <c r="K238" s="440"/>
      <c r="L238" s="435" t="s">
        <v>85</v>
      </c>
      <c r="M238" s="436" t="str">
        <f>IF(M237="","",VLOOKUP(M237,liste!$A$9:$G$145,2,FALSE))</f>
        <v/>
      </c>
      <c r="N238" s="437"/>
      <c r="O238" s="437"/>
      <c r="P238" s="437"/>
      <c r="Q238" s="437"/>
      <c r="R238" s="437"/>
      <c r="S238" s="437"/>
      <c r="T238" s="437"/>
      <c r="U238" s="441"/>
    </row>
    <row r="239" spans="1:21" s="232" customFormat="1" ht="20.100000000000001" customHeight="1" x14ac:dyDescent="0.2">
      <c r="A239" s="425"/>
      <c r="B239" s="231"/>
      <c r="C239" s="231"/>
      <c r="D239" s="999" t="s">
        <v>19</v>
      </c>
      <c r="E239" s="1000"/>
      <c r="F239" s="1000"/>
      <c r="G239" s="1000"/>
      <c r="H239" s="1000"/>
      <c r="I239" s="1000"/>
      <c r="J239" s="1001"/>
      <c r="K239" s="425"/>
      <c r="L239" s="443"/>
      <c r="M239" s="444"/>
      <c r="N239" s="444"/>
      <c r="O239" s="1002" t="s">
        <v>19</v>
      </c>
      <c r="P239" s="1003"/>
      <c r="Q239" s="1003"/>
      <c r="R239" s="1003"/>
      <c r="S239" s="1003"/>
      <c r="T239" s="1003"/>
      <c r="U239" s="1004"/>
    </row>
    <row r="240" spans="1:21" s="232" customFormat="1" ht="20.100000000000001" customHeight="1" x14ac:dyDescent="0.2">
      <c r="A240" s="992" t="s">
        <v>86</v>
      </c>
      <c r="B240" s="993"/>
      <c r="C240" s="993"/>
      <c r="D240" s="467">
        <v>1</v>
      </c>
      <c r="E240" s="467">
        <v>2</v>
      </c>
      <c r="F240" s="467">
        <v>3</v>
      </c>
      <c r="G240" s="467">
        <v>4</v>
      </c>
      <c r="H240" s="467">
        <v>5</v>
      </c>
      <c r="I240" s="467">
        <v>6</v>
      </c>
      <c r="J240" s="467">
        <v>7</v>
      </c>
      <c r="K240" s="425"/>
      <c r="L240" s="992" t="s">
        <v>86</v>
      </c>
      <c r="M240" s="993"/>
      <c r="N240" s="993"/>
      <c r="O240" s="445">
        <v>1</v>
      </c>
      <c r="P240" s="445">
        <v>2</v>
      </c>
      <c r="Q240" s="445">
        <v>3</v>
      </c>
      <c r="R240" s="445">
        <v>4</v>
      </c>
      <c r="S240" s="446">
        <v>5</v>
      </c>
      <c r="T240" s="497">
        <v>6</v>
      </c>
      <c r="U240" s="446">
        <v>7</v>
      </c>
    </row>
    <row r="241" spans="1:21" s="232" customFormat="1" ht="20.100000000000001" customHeight="1" x14ac:dyDescent="0.2">
      <c r="A241" s="500"/>
      <c r="B241" s="501"/>
      <c r="C241" s="501"/>
      <c r="D241" s="994" t="s">
        <v>92</v>
      </c>
      <c r="E241" s="995"/>
      <c r="F241" s="995"/>
      <c r="G241" s="995"/>
      <c r="H241" s="995"/>
      <c r="I241" s="995"/>
      <c r="J241" s="996"/>
      <c r="K241" s="425"/>
      <c r="L241" s="500"/>
      <c r="M241" s="501"/>
      <c r="N241" s="501"/>
      <c r="O241" s="994" t="s">
        <v>92</v>
      </c>
      <c r="P241" s="995"/>
      <c r="Q241" s="995"/>
      <c r="R241" s="995"/>
      <c r="S241" s="995"/>
      <c r="T241" s="995"/>
      <c r="U241" s="996"/>
    </row>
    <row r="242" spans="1:21" s="232" customFormat="1" ht="18.75" x14ac:dyDescent="0.2">
      <c r="A242" s="498" t="str">
        <f>Tableau!AB10</f>
        <v/>
      </c>
      <c r="B242" s="231"/>
      <c r="C242" s="231"/>
      <c r="D242" s="447"/>
      <c r="E242" s="447"/>
      <c r="F242" s="447"/>
      <c r="G242" s="447"/>
      <c r="H242" s="447"/>
      <c r="I242" s="447"/>
      <c r="J242" s="447"/>
      <c r="K242" s="425"/>
      <c r="L242" s="498">
        <f>Tableau!AB16</f>
        <v>0</v>
      </c>
      <c r="M242" s="231"/>
      <c r="N242" s="231"/>
      <c r="O242" s="448"/>
      <c r="P242" s="448"/>
      <c r="Q242" s="448"/>
      <c r="R242" s="448"/>
      <c r="S242" s="448"/>
      <c r="T242" s="449"/>
      <c r="U242" s="448"/>
    </row>
    <row r="243" spans="1:21" s="232" customFormat="1" ht="20.100000000000001" customHeight="1" x14ac:dyDescent="0.2">
      <c r="A243" s="990" t="str">
        <f>IF(A242="","",VLOOKUP(A242,liste!$A$9:$G$145,2,FALSE))</f>
        <v/>
      </c>
      <c r="B243" s="991" t="s">
        <v>288</v>
      </c>
      <c r="C243" s="991" t="s">
        <v>288</v>
      </c>
      <c r="D243" s="447"/>
      <c r="E243" s="447"/>
      <c r="F243" s="447"/>
      <c r="G243" s="447"/>
      <c r="H243" s="447"/>
      <c r="I243" s="447"/>
      <c r="J243" s="447"/>
      <c r="K243" s="425"/>
      <c r="L243" s="990" t="e">
        <f>IF(L242="","",VLOOKUP(L242,liste!$A$9:$G$145,2,FALSE))</f>
        <v>#N/A</v>
      </c>
      <c r="M243" s="991" t="e">
        <v>#N/A</v>
      </c>
      <c r="N243" s="991" t="e">
        <v>#N/A</v>
      </c>
      <c r="O243" s="447"/>
      <c r="P243" s="447"/>
      <c r="Q243" s="447"/>
      <c r="R243" s="447"/>
      <c r="S243" s="447"/>
      <c r="T243" s="428"/>
      <c r="U243" s="447"/>
    </row>
    <row r="244" spans="1:21" s="232" customFormat="1" ht="20.100000000000001" customHeight="1" x14ac:dyDescent="0.2">
      <c r="A244" s="425"/>
      <c r="B244" s="231"/>
      <c r="C244" s="450" t="str">
        <f>IF(A242="","",VLOOKUP(A242,liste!$A$9:$G$145,4,FALSE))</f>
        <v/>
      </c>
      <c r="D244" s="451"/>
      <c r="E244" s="451"/>
      <c r="F244" s="451"/>
      <c r="G244" s="451"/>
      <c r="H244" s="451"/>
      <c r="I244" s="451"/>
      <c r="J244" s="451"/>
      <c r="K244" s="425"/>
      <c r="L244" s="425"/>
      <c r="M244" s="231"/>
      <c r="N244" s="450" t="e">
        <f>IF(L242="","",VLOOKUP(L242,liste!$A$9:$G$145,4,FALSE))</f>
        <v>#N/A</v>
      </c>
      <c r="O244" s="451"/>
      <c r="P244" s="451"/>
      <c r="Q244" s="451"/>
      <c r="R244" s="451"/>
      <c r="S244" s="451"/>
      <c r="T244" s="452"/>
      <c r="U244" s="451"/>
    </row>
    <row r="245" spans="1:21" s="232" customFormat="1" ht="15.75" x14ac:dyDescent="0.2">
      <c r="A245" s="453" t="str">
        <f>IF(A242="","",VLOOKUP(A242,liste!$A$9:$G$145,3,FALSE))</f>
        <v/>
      </c>
      <c r="B245" s="231"/>
      <c r="C245" s="231"/>
      <c r="D245" s="455"/>
      <c r="E245" s="455"/>
      <c r="F245" s="455"/>
      <c r="G245" s="455"/>
      <c r="H245" s="455"/>
      <c r="I245" s="455"/>
      <c r="J245" s="455"/>
      <c r="K245" s="425"/>
      <c r="L245" s="453" t="e">
        <f>IF(L242="","",VLOOKUP(L242,liste!$A$9:$G$145,3,FALSE))</f>
        <v>#N/A</v>
      </c>
      <c r="M245" s="231"/>
      <c r="N245" s="231"/>
      <c r="O245" s="454"/>
      <c r="P245" s="454"/>
      <c r="Q245" s="454"/>
      <c r="R245" s="454"/>
      <c r="S245" s="454"/>
      <c r="T245" s="456"/>
      <c r="U245" s="454"/>
    </row>
    <row r="246" spans="1:21" s="232" customFormat="1" ht="12.75" x14ac:dyDescent="0.2">
      <c r="A246" s="425"/>
      <c r="B246" s="230" t="s">
        <v>9</v>
      </c>
      <c r="C246" s="231"/>
      <c r="D246" s="458"/>
      <c r="E246" s="458"/>
      <c r="F246" s="458"/>
      <c r="G246" s="458"/>
      <c r="H246" s="458"/>
      <c r="I246" s="458"/>
      <c r="J246" s="458"/>
      <c r="K246" s="425"/>
      <c r="L246" s="425"/>
      <c r="M246" s="230" t="s">
        <v>9</v>
      </c>
      <c r="N246" s="231"/>
      <c r="O246" s="457"/>
      <c r="P246" s="457"/>
      <c r="Q246" s="457"/>
      <c r="R246" s="457"/>
      <c r="S246" s="457"/>
      <c r="T246" s="459"/>
      <c r="U246" s="457"/>
    </row>
    <row r="247" spans="1:21" s="232" customFormat="1" ht="18.75" x14ac:dyDescent="0.2">
      <c r="A247" s="498">
        <f>Tableau!AB12</f>
        <v>0</v>
      </c>
      <c r="B247" s="231"/>
      <c r="C247" s="231"/>
      <c r="D247" s="448"/>
      <c r="E247" s="448"/>
      <c r="F247" s="448"/>
      <c r="G247" s="448"/>
      <c r="H247" s="448"/>
      <c r="I247" s="448"/>
      <c r="J247" s="448"/>
      <c r="K247" s="425"/>
      <c r="L247" s="498" t="str">
        <f>Tableau!AB18</f>
        <v/>
      </c>
      <c r="M247" s="231"/>
      <c r="N247" s="231"/>
      <c r="O247" s="448"/>
      <c r="P247" s="448"/>
      <c r="Q247" s="448"/>
      <c r="R247" s="448"/>
      <c r="S247" s="448"/>
      <c r="T247" s="449"/>
      <c r="U247" s="448"/>
    </row>
    <row r="248" spans="1:21" s="232" customFormat="1" ht="20.100000000000001" customHeight="1" x14ac:dyDescent="0.2">
      <c r="A248" s="990" t="e">
        <f>IF(A247="","",VLOOKUP(A247,liste!$A$9:$G$145,2,FALSE))</f>
        <v>#N/A</v>
      </c>
      <c r="B248" s="991" t="e">
        <v>#N/A</v>
      </c>
      <c r="C248" s="991" t="e">
        <v>#N/A</v>
      </c>
      <c r="D248" s="447"/>
      <c r="E248" s="447"/>
      <c r="F248" s="447"/>
      <c r="G248" s="447"/>
      <c r="H248" s="447"/>
      <c r="I248" s="447"/>
      <c r="J248" s="447"/>
      <c r="K248" s="425"/>
      <c r="L248" s="990" t="str">
        <f>IF(L247="","",VLOOKUP(L247,liste!$A$9:$G$145,2,FALSE))</f>
        <v/>
      </c>
      <c r="M248" s="991" t="s">
        <v>288</v>
      </c>
      <c r="N248" s="991" t="s">
        <v>288</v>
      </c>
      <c r="O248" s="447"/>
      <c r="P248" s="447"/>
      <c r="Q248" s="447"/>
      <c r="R248" s="447"/>
      <c r="S248" s="447"/>
      <c r="T248" s="428"/>
      <c r="U248" s="447"/>
    </row>
    <row r="249" spans="1:21" s="232" customFormat="1" ht="20.100000000000001" customHeight="1" x14ac:dyDescent="0.2">
      <c r="A249" s="425"/>
      <c r="B249" s="231"/>
      <c r="C249" s="460" t="e">
        <f>IF(A247="","",VLOOKUP(A247,liste!$A$9:$G$145,4,FALSE))</f>
        <v>#N/A</v>
      </c>
      <c r="D249" s="451"/>
      <c r="E249" s="451"/>
      <c r="F249" s="451"/>
      <c r="G249" s="451"/>
      <c r="H249" s="451"/>
      <c r="I249" s="451"/>
      <c r="J249" s="451"/>
      <c r="K249" s="425"/>
      <c r="L249" s="425"/>
      <c r="M249" s="231"/>
      <c r="N249" s="460" t="str">
        <f>IF(L247="","",VLOOKUP(L247,liste!$A$9:$G$145,4,FALSE))</f>
        <v/>
      </c>
      <c r="O249" s="451"/>
      <c r="P249" s="451"/>
      <c r="Q249" s="451"/>
      <c r="R249" s="451"/>
      <c r="S249" s="451"/>
      <c r="T249" s="452"/>
      <c r="U249" s="451"/>
    </row>
    <row r="250" spans="1:21" s="232" customFormat="1" ht="15.75" x14ac:dyDescent="0.2">
      <c r="A250" s="453" t="e">
        <f>IF(A247="","",VLOOKUP(A247,liste!$A$9:$G$145,3,FALSE))</f>
        <v>#N/A</v>
      </c>
      <c r="B250" s="231"/>
      <c r="C250" s="231"/>
      <c r="D250" s="455"/>
      <c r="E250" s="455"/>
      <c r="F250" s="455"/>
      <c r="G250" s="455"/>
      <c r="H250" s="455"/>
      <c r="I250" s="455"/>
      <c r="J250" s="455"/>
      <c r="K250" s="425"/>
      <c r="L250" s="453" t="str">
        <f>IF(L247="","",VLOOKUP(L247,liste!$A$9:$G$145,3,FALSE))</f>
        <v/>
      </c>
      <c r="M250" s="231"/>
      <c r="N250" s="231"/>
      <c r="O250" s="454"/>
      <c r="P250" s="454"/>
      <c r="Q250" s="454"/>
      <c r="R250" s="454"/>
      <c r="S250" s="454"/>
      <c r="T250" s="456"/>
      <c r="U250" s="454"/>
    </row>
    <row r="251" spans="1:21" s="232" customFormat="1" ht="12.75" x14ac:dyDescent="0.2">
      <c r="A251" s="425"/>
      <c r="B251" s="231"/>
      <c r="C251" s="231"/>
      <c r="D251" s="458"/>
      <c r="E251" s="458"/>
      <c r="F251" s="458"/>
      <c r="G251" s="458"/>
      <c r="H251" s="458"/>
      <c r="I251" s="458"/>
      <c r="J251" s="458"/>
      <c r="K251" s="425"/>
      <c r="L251" s="425"/>
      <c r="M251" s="231"/>
      <c r="N251" s="231"/>
      <c r="O251" s="457"/>
      <c r="P251" s="457"/>
      <c r="Q251" s="457"/>
      <c r="R251" s="457"/>
      <c r="S251" s="457"/>
      <c r="T251" s="459"/>
      <c r="U251" s="457"/>
    </row>
    <row r="252" spans="1:21" s="232" customFormat="1" ht="12.75" x14ac:dyDescent="0.2">
      <c r="A252" s="425"/>
      <c r="B252" s="231"/>
      <c r="C252" s="231"/>
      <c r="D252" s="231"/>
      <c r="E252" s="231"/>
      <c r="F252" s="231"/>
      <c r="G252" s="231"/>
      <c r="H252" s="231"/>
      <c r="I252" s="231"/>
      <c r="J252" s="428"/>
      <c r="K252" s="425"/>
      <c r="L252" s="425"/>
      <c r="M252" s="231"/>
      <c r="N252" s="231"/>
      <c r="O252" s="231"/>
      <c r="P252" s="231"/>
      <c r="Q252" s="231"/>
      <c r="R252" s="231"/>
      <c r="S252" s="231"/>
      <c r="T252" s="231"/>
      <c r="U252" s="428"/>
    </row>
    <row r="253" spans="1:21" s="232" customFormat="1" ht="20.100000000000001" customHeight="1" x14ac:dyDescent="0.2">
      <c r="A253" s="988" t="s">
        <v>90</v>
      </c>
      <c r="B253" s="989"/>
      <c r="C253" s="989"/>
      <c r="D253" s="461" t="s">
        <v>77</v>
      </c>
      <c r="E253" s="461" t="s">
        <v>87</v>
      </c>
      <c r="F253" s="461" t="s">
        <v>88</v>
      </c>
      <c r="G253" s="231"/>
      <c r="H253" s="231"/>
      <c r="I253" s="231"/>
      <c r="J253" s="428"/>
      <c r="K253" s="425"/>
      <c r="L253" s="988" t="s">
        <v>90</v>
      </c>
      <c r="M253" s="989"/>
      <c r="N253" s="989"/>
      <c r="O253" s="461" t="s">
        <v>77</v>
      </c>
      <c r="P253" s="461" t="s">
        <v>87</v>
      </c>
      <c r="Q253" s="461" t="s">
        <v>88</v>
      </c>
      <c r="R253" s="231"/>
      <c r="S253" s="231"/>
      <c r="T253" s="231"/>
      <c r="U253" s="428"/>
    </row>
    <row r="254" spans="1:21" s="232" customFormat="1" ht="20.100000000000001" customHeight="1" x14ac:dyDescent="0.2">
      <c r="A254" s="462" t="str">
        <f>A243</f>
        <v/>
      </c>
      <c r="B254" s="426"/>
      <c r="C254" s="449"/>
      <c r="D254" s="448"/>
      <c r="E254" s="448"/>
      <c r="F254" s="448"/>
      <c r="G254" s="231"/>
      <c r="H254" s="231"/>
      <c r="I254" s="231"/>
      <c r="J254" s="428"/>
      <c r="K254" s="425"/>
      <c r="L254" s="462" t="e">
        <f>L243</f>
        <v>#N/A</v>
      </c>
      <c r="M254" s="426"/>
      <c r="N254" s="449"/>
      <c r="O254" s="448"/>
      <c r="P254" s="448"/>
      <c r="Q254" s="448"/>
      <c r="R254" s="231"/>
      <c r="S254" s="231"/>
      <c r="T254" s="231"/>
      <c r="U254" s="428"/>
    </row>
    <row r="255" spans="1:21" s="232" customFormat="1" ht="20.100000000000001" customHeight="1" x14ac:dyDescent="0.2">
      <c r="A255" s="463"/>
      <c r="B255" s="233"/>
      <c r="C255" s="452"/>
      <c r="D255" s="451"/>
      <c r="E255" s="451"/>
      <c r="F255" s="451"/>
      <c r="G255" s="231"/>
      <c r="H255" s="231"/>
      <c r="I255" s="231"/>
      <c r="J255" s="428"/>
      <c r="K255" s="425"/>
      <c r="L255" s="463"/>
      <c r="M255" s="233"/>
      <c r="N255" s="452"/>
      <c r="O255" s="451"/>
      <c r="P255" s="451"/>
      <c r="Q255" s="451"/>
      <c r="R255" s="231"/>
      <c r="S255" s="231"/>
      <c r="T255" s="231"/>
      <c r="U255" s="428"/>
    </row>
    <row r="256" spans="1:21" s="232" customFormat="1" ht="20.100000000000001" customHeight="1" x14ac:dyDescent="0.2">
      <c r="A256" s="462" t="e">
        <f>A248</f>
        <v>#N/A</v>
      </c>
      <c r="B256" s="426"/>
      <c r="C256" s="449"/>
      <c r="D256" s="448"/>
      <c r="E256" s="448"/>
      <c r="F256" s="448"/>
      <c r="G256" s="231"/>
      <c r="H256" s="231"/>
      <c r="I256" s="231"/>
      <c r="J256" s="428"/>
      <c r="K256" s="425"/>
      <c r="L256" s="462" t="str">
        <f>L248</f>
        <v/>
      </c>
      <c r="M256" s="426"/>
      <c r="N256" s="449"/>
      <c r="O256" s="448"/>
      <c r="P256" s="448"/>
      <c r="Q256" s="448"/>
      <c r="R256" s="231"/>
      <c r="S256" s="231"/>
      <c r="T256" s="231"/>
      <c r="U256" s="428"/>
    </row>
    <row r="257" spans="1:21" s="232" customFormat="1" ht="20.100000000000001" customHeight="1" x14ac:dyDescent="0.2">
      <c r="A257" s="463"/>
      <c r="B257" s="233"/>
      <c r="C257" s="452"/>
      <c r="D257" s="451"/>
      <c r="E257" s="451"/>
      <c r="F257" s="451"/>
      <c r="G257" s="231"/>
      <c r="H257" s="231"/>
      <c r="I257" s="231"/>
      <c r="J257" s="428"/>
      <c r="K257" s="425"/>
      <c r="L257" s="463"/>
      <c r="M257" s="233"/>
      <c r="N257" s="452"/>
      <c r="O257" s="451"/>
      <c r="P257" s="451"/>
      <c r="Q257" s="451"/>
      <c r="R257" s="231"/>
      <c r="S257" s="231"/>
      <c r="T257" s="231"/>
      <c r="U257" s="428"/>
    </row>
    <row r="258" spans="1:21" s="232" customFormat="1" ht="12.75" x14ac:dyDescent="0.2">
      <c r="A258" s="464" t="s">
        <v>91</v>
      </c>
      <c r="B258" s="231"/>
      <c r="C258" s="231"/>
      <c r="D258" s="231"/>
      <c r="E258" s="231"/>
      <c r="F258" s="231"/>
      <c r="G258" s="231"/>
      <c r="H258" s="231"/>
      <c r="I258" s="231"/>
      <c r="J258" s="428"/>
      <c r="K258" s="425"/>
      <c r="L258" s="464" t="s">
        <v>91</v>
      </c>
      <c r="M258" s="231"/>
      <c r="N258" s="231"/>
      <c r="O258" s="231"/>
      <c r="P258" s="231"/>
      <c r="Q258" s="231"/>
      <c r="R258" s="231"/>
      <c r="S258" s="231"/>
      <c r="T258" s="231"/>
      <c r="U258" s="428"/>
    </row>
    <row r="259" spans="1:21" s="232" customFormat="1" ht="12.75" x14ac:dyDescent="0.2">
      <c r="A259" s="425"/>
      <c r="B259" s="231"/>
      <c r="C259" s="231"/>
      <c r="D259" s="231"/>
      <c r="E259" s="231"/>
      <c r="F259" s="231"/>
      <c r="G259" s="231"/>
      <c r="H259" s="231"/>
      <c r="I259" s="231"/>
      <c r="J259" s="428"/>
      <c r="K259" s="425"/>
      <c r="L259" s="425"/>
      <c r="M259" s="231"/>
      <c r="N259" s="231"/>
      <c r="O259" s="231"/>
      <c r="P259" s="231"/>
      <c r="Q259" s="231"/>
      <c r="R259" s="231"/>
      <c r="S259" s="231"/>
      <c r="T259" s="231"/>
      <c r="U259" s="428"/>
    </row>
    <row r="260" spans="1:21" s="232" customFormat="1" ht="12.75" x14ac:dyDescent="0.2">
      <c r="A260" s="465" t="s">
        <v>89</v>
      </c>
      <c r="B260" s="233"/>
      <c r="C260" s="233"/>
      <c r="D260" s="233"/>
      <c r="E260" s="233"/>
      <c r="F260" s="233"/>
      <c r="G260" s="233"/>
      <c r="H260" s="233"/>
      <c r="I260" s="233"/>
      <c r="J260" s="452"/>
      <c r="K260" s="425"/>
      <c r="L260" s="465" t="s">
        <v>89</v>
      </c>
      <c r="M260" s="233"/>
      <c r="N260" s="233"/>
      <c r="O260" s="233"/>
      <c r="P260" s="233"/>
      <c r="Q260" s="233"/>
      <c r="R260" s="233"/>
      <c r="S260" s="233"/>
      <c r="T260" s="233"/>
      <c r="U260" s="452"/>
    </row>
    <row r="261" spans="1:21" s="232" customFormat="1" ht="30" customHeight="1" x14ac:dyDescent="0.2"/>
    <row r="262" spans="1:21" s="232" customFormat="1" ht="30" customHeight="1" x14ac:dyDescent="0.2"/>
    <row r="263" spans="1:21" s="232" customFormat="1" ht="20.100000000000001" customHeight="1" x14ac:dyDescent="0.2">
      <c r="A263" s="1005" t="str">
        <f>$A$1</f>
        <v>Circuit décathlon</v>
      </c>
      <c r="B263" s="1006"/>
      <c r="C263" s="1006"/>
      <c r="D263" s="1006"/>
      <c r="E263" s="1006"/>
      <c r="F263" s="1006"/>
      <c r="G263" s="1006"/>
      <c r="H263" s="1006"/>
      <c r="I263" s="1006"/>
      <c r="J263" s="1007"/>
      <c r="K263" s="425"/>
      <c r="L263" s="1005" t="str">
        <f>$A$1</f>
        <v>Circuit décathlon</v>
      </c>
      <c r="M263" s="1006"/>
      <c r="N263" s="1006"/>
      <c r="O263" s="1006"/>
      <c r="P263" s="1006"/>
      <c r="Q263" s="1006"/>
      <c r="R263" s="1006"/>
      <c r="S263" s="1006"/>
      <c r="T263" s="426"/>
      <c r="U263" s="449"/>
    </row>
    <row r="264" spans="1:21" s="232" customFormat="1" ht="15.75" x14ac:dyDescent="0.2">
      <c r="A264" s="425"/>
      <c r="B264" s="231"/>
      <c r="C264" s="231"/>
      <c r="D264" s="427" t="s">
        <v>83</v>
      </c>
      <c r="E264" s="1008">
        <f>Rens!J20</f>
        <v>0</v>
      </c>
      <c r="F264" s="1008">
        <f>Rens!K60</f>
        <v>0</v>
      </c>
      <c r="G264" s="231"/>
      <c r="H264" s="231"/>
      <c r="I264" s="231"/>
      <c r="J264" s="428"/>
      <c r="K264" s="425"/>
      <c r="L264" s="425"/>
      <c r="M264" s="231"/>
      <c r="N264" s="231"/>
      <c r="O264" s="427" t="s">
        <v>83</v>
      </c>
      <c r="P264" s="1008">
        <f>Rens!J21</f>
        <v>0</v>
      </c>
      <c r="Q264" s="1008">
        <f>Rens!V59</f>
        <v>0</v>
      </c>
      <c r="R264" s="231"/>
      <c r="S264" s="231"/>
      <c r="T264" s="231"/>
      <c r="U264" s="428"/>
    </row>
    <row r="265" spans="1:21" s="343" customFormat="1" ht="18.75" x14ac:dyDescent="0.2">
      <c r="A265" s="429" t="s">
        <v>84</v>
      </c>
      <c r="B265" s="430" t="str">
        <f>$B$3</f>
        <v>Minimes</v>
      </c>
      <c r="C265" s="345"/>
      <c r="D265" s="345"/>
      <c r="E265" s="345"/>
      <c r="F265" s="345"/>
      <c r="G265" s="345"/>
      <c r="H265" s="345"/>
      <c r="I265" s="345"/>
      <c r="J265" s="431"/>
      <c r="K265" s="432"/>
      <c r="L265" s="429" t="s">
        <v>84</v>
      </c>
      <c r="M265" s="430" t="str">
        <f>$B$3</f>
        <v>Minimes</v>
      </c>
      <c r="N265" s="345"/>
      <c r="O265" s="345"/>
      <c r="P265" s="345"/>
      <c r="Q265" s="345"/>
      <c r="R265" s="345"/>
      <c r="S265" s="345"/>
      <c r="T265" s="345"/>
      <c r="U265" s="431"/>
    </row>
    <row r="266" spans="1:21" s="343" customFormat="1" ht="18.75" x14ac:dyDescent="0.2">
      <c r="A266" s="997" t="str">
        <f>A236</f>
        <v>1/8è de Finale</v>
      </c>
      <c r="B266" s="998"/>
      <c r="C266" s="998"/>
      <c r="D266" s="998"/>
      <c r="E266" s="345"/>
      <c r="F266" s="345"/>
      <c r="G266" s="430" t="str">
        <f>Rens!I20</f>
        <v>I</v>
      </c>
      <c r="H266" s="430"/>
      <c r="I266" s="345"/>
      <c r="J266" s="431"/>
      <c r="K266" s="432"/>
      <c r="L266" s="997" t="str">
        <f>A236</f>
        <v>1/8è de Finale</v>
      </c>
      <c r="M266" s="998"/>
      <c r="N266" s="998"/>
      <c r="O266" s="998"/>
      <c r="P266" s="345"/>
      <c r="Q266" s="345"/>
      <c r="R266" s="466" t="str">
        <f>Rens!I21</f>
        <v>J</v>
      </c>
      <c r="S266" s="430"/>
      <c r="T266" s="466"/>
      <c r="U266" s="433"/>
    </row>
    <row r="267" spans="1:21" s="343" customFormat="1" ht="23.25" x14ac:dyDescent="0.2">
      <c r="A267" s="432"/>
      <c r="B267" s="434" t="str">
        <f>Tableau!P38</f>
        <v/>
      </c>
      <c r="C267" s="345"/>
      <c r="D267" s="345"/>
      <c r="E267" s="344" t="s">
        <v>178</v>
      </c>
      <c r="F267" s="234">
        <f>Rens!K20</f>
        <v>0</v>
      </c>
      <c r="G267" s="345"/>
      <c r="H267" s="345"/>
      <c r="I267" s="345"/>
      <c r="J267" s="431"/>
      <c r="K267" s="432"/>
      <c r="L267" s="432"/>
      <c r="M267" s="434" t="str">
        <f>Tableau!P30</f>
        <v/>
      </c>
      <c r="N267" s="345"/>
      <c r="O267" s="345"/>
      <c r="P267" s="344" t="s">
        <v>178</v>
      </c>
      <c r="Q267" s="234">
        <f>Rens!K21</f>
        <v>0</v>
      </c>
      <c r="R267" s="345"/>
      <c r="S267" s="345"/>
      <c r="T267" s="345"/>
      <c r="U267" s="431"/>
    </row>
    <row r="268" spans="1:21" s="442" customFormat="1" ht="15.75" x14ac:dyDescent="0.2">
      <c r="A268" s="435" t="s">
        <v>85</v>
      </c>
      <c r="B268" s="436" t="str">
        <f>IF(B267="","",VLOOKUP(B267,liste!$A$9:$G$145,2,FALSE))</f>
        <v/>
      </c>
      <c r="C268" s="437"/>
      <c r="D268" s="437"/>
      <c r="E268" s="437"/>
      <c r="F268" s="437"/>
      <c r="G268" s="437"/>
      <c r="H268" s="437"/>
      <c r="I268" s="438"/>
      <c r="J268" s="439"/>
      <c r="K268" s="440"/>
      <c r="L268" s="435" t="s">
        <v>85</v>
      </c>
      <c r="M268" s="436" t="str">
        <f>IF(M267="","",VLOOKUP(M267,liste!$A$9:$G$145,2,FALSE))</f>
        <v/>
      </c>
      <c r="N268" s="437"/>
      <c r="O268" s="437"/>
      <c r="P268" s="437"/>
      <c r="Q268" s="437"/>
      <c r="R268" s="437"/>
      <c r="S268" s="437"/>
      <c r="T268" s="437"/>
      <c r="U268" s="441"/>
    </row>
    <row r="269" spans="1:21" s="232" customFormat="1" ht="20.100000000000001" customHeight="1" x14ac:dyDescent="0.2">
      <c r="A269" s="425"/>
      <c r="D269" s="999" t="s">
        <v>19</v>
      </c>
      <c r="E269" s="1000"/>
      <c r="F269" s="1000"/>
      <c r="G269" s="1000"/>
      <c r="H269" s="1000"/>
      <c r="I269" s="1000"/>
      <c r="J269" s="1001"/>
      <c r="K269" s="425"/>
      <c r="L269" s="443"/>
      <c r="M269" s="444"/>
      <c r="N269" s="444"/>
      <c r="O269" s="1002" t="s">
        <v>19</v>
      </c>
      <c r="P269" s="1003"/>
      <c r="Q269" s="1003"/>
      <c r="R269" s="1003"/>
      <c r="S269" s="1003"/>
      <c r="T269" s="1003"/>
      <c r="U269" s="1004"/>
    </row>
    <row r="270" spans="1:21" s="232" customFormat="1" ht="20.100000000000001" customHeight="1" x14ac:dyDescent="0.2">
      <c r="A270" s="992" t="s">
        <v>86</v>
      </c>
      <c r="B270" s="993"/>
      <c r="C270" s="993"/>
      <c r="D270" s="467">
        <v>1</v>
      </c>
      <c r="E270" s="467">
        <v>2</v>
      </c>
      <c r="F270" s="467">
        <v>3</v>
      </c>
      <c r="G270" s="467">
        <v>4</v>
      </c>
      <c r="H270" s="467">
        <v>5</v>
      </c>
      <c r="I270" s="467">
        <v>6</v>
      </c>
      <c r="J270" s="467">
        <v>7</v>
      </c>
      <c r="K270" s="425"/>
      <c r="L270" s="992" t="s">
        <v>86</v>
      </c>
      <c r="M270" s="993"/>
      <c r="N270" s="993"/>
      <c r="O270" s="445">
        <v>1</v>
      </c>
      <c r="P270" s="445">
        <v>2</v>
      </c>
      <c r="Q270" s="445">
        <v>3</v>
      </c>
      <c r="R270" s="445">
        <v>4</v>
      </c>
      <c r="S270" s="446">
        <v>5</v>
      </c>
      <c r="T270" s="497">
        <v>6</v>
      </c>
      <c r="U270" s="446">
        <v>7</v>
      </c>
    </row>
    <row r="271" spans="1:21" s="232" customFormat="1" ht="20.100000000000001" customHeight="1" x14ac:dyDescent="0.2">
      <c r="A271" s="500"/>
      <c r="B271" s="501"/>
      <c r="C271" s="501"/>
      <c r="D271" s="994" t="s">
        <v>92</v>
      </c>
      <c r="E271" s="995"/>
      <c r="F271" s="995"/>
      <c r="G271" s="995"/>
      <c r="H271" s="995"/>
      <c r="I271" s="995"/>
      <c r="J271" s="996"/>
      <c r="K271" s="425"/>
      <c r="L271" s="500"/>
      <c r="M271" s="501"/>
      <c r="N271" s="501"/>
      <c r="O271" s="994" t="s">
        <v>92</v>
      </c>
      <c r="P271" s="995"/>
      <c r="Q271" s="995"/>
      <c r="R271" s="995"/>
      <c r="S271" s="995"/>
      <c r="T271" s="995"/>
      <c r="U271" s="996"/>
    </row>
    <row r="272" spans="1:21" s="232" customFormat="1" ht="18.75" x14ac:dyDescent="0.2">
      <c r="A272" s="498" t="str">
        <f>Tableau!AB20</f>
        <v/>
      </c>
      <c r="C272" s="231"/>
      <c r="D272" s="448"/>
      <c r="E272" s="448"/>
      <c r="F272" s="448"/>
      <c r="G272" s="448"/>
      <c r="H272" s="448"/>
      <c r="I272" s="448"/>
      <c r="J272" s="448"/>
      <c r="K272" s="425"/>
      <c r="L272" s="498">
        <f>Tableau!AB26</f>
        <v>0</v>
      </c>
      <c r="M272" s="231"/>
      <c r="N272" s="231"/>
      <c r="O272" s="448"/>
      <c r="P272" s="448"/>
      <c r="Q272" s="448"/>
      <c r="R272" s="448"/>
      <c r="S272" s="448"/>
      <c r="T272" s="449"/>
      <c r="U272" s="448"/>
    </row>
    <row r="273" spans="1:21" s="232" customFormat="1" ht="20.100000000000001" customHeight="1" x14ac:dyDescent="0.2">
      <c r="A273" s="990" t="str">
        <f>IF(A272="","",VLOOKUP(A272,liste!$A$9:$G$145,2,FALSE))</f>
        <v/>
      </c>
      <c r="B273" s="991" t="s">
        <v>288</v>
      </c>
      <c r="C273" s="991" t="s">
        <v>288</v>
      </c>
      <c r="D273" s="447"/>
      <c r="E273" s="447"/>
      <c r="F273" s="447"/>
      <c r="G273" s="447"/>
      <c r="H273" s="447"/>
      <c r="I273" s="447"/>
      <c r="J273" s="447"/>
      <c r="K273" s="425"/>
      <c r="L273" s="990" t="e">
        <f>IF(L272="","",VLOOKUP(L272,liste!$A$9:$G$145,2,FALSE))</f>
        <v>#N/A</v>
      </c>
      <c r="M273" s="991" t="e">
        <v>#N/A</v>
      </c>
      <c r="N273" s="991" t="e">
        <v>#N/A</v>
      </c>
      <c r="O273" s="447"/>
      <c r="P273" s="447"/>
      <c r="Q273" s="447"/>
      <c r="R273" s="447"/>
      <c r="S273" s="447"/>
      <c r="T273" s="428"/>
      <c r="U273" s="447"/>
    </row>
    <row r="274" spans="1:21" s="232" customFormat="1" ht="20.100000000000001" customHeight="1" x14ac:dyDescent="0.2">
      <c r="A274" s="440"/>
      <c r="B274" s="438"/>
      <c r="C274" s="450" t="str">
        <f>IF(A272="","",VLOOKUP(A272,liste!$A$9:$G$145,4,FALSE))</f>
        <v/>
      </c>
      <c r="D274" s="451"/>
      <c r="E274" s="451"/>
      <c r="F274" s="451"/>
      <c r="G274" s="451"/>
      <c r="H274" s="451"/>
      <c r="I274" s="451"/>
      <c r="J274" s="451"/>
      <c r="K274" s="425"/>
      <c r="L274" s="440"/>
      <c r="M274" s="438"/>
      <c r="N274" s="450" t="e">
        <f>IF(L272="","",VLOOKUP(L272,liste!$A$9:$G$145,4,FALSE))</f>
        <v>#N/A</v>
      </c>
      <c r="O274" s="451"/>
      <c r="P274" s="451"/>
      <c r="Q274" s="451"/>
      <c r="R274" s="451"/>
      <c r="S274" s="451"/>
      <c r="T274" s="452"/>
      <c r="U274" s="451"/>
    </row>
    <row r="275" spans="1:21" s="232" customFormat="1" ht="15.75" x14ac:dyDescent="0.2">
      <c r="A275" s="468" t="str">
        <f>IF(A272="","",VLOOKUP(A272,liste!$A$9:$G$145,3,FALSE))</f>
        <v/>
      </c>
      <c r="B275" s="438"/>
      <c r="C275" s="438"/>
      <c r="D275" s="455"/>
      <c r="E275" s="455"/>
      <c r="F275" s="455"/>
      <c r="G275" s="455"/>
      <c r="H275" s="455"/>
      <c r="I275" s="455"/>
      <c r="J275" s="455"/>
      <c r="K275" s="425"/>
      <c r="L275" s="468" t="e">
        <f>IF(L272="","",VLOOKUP(L272,liste!$A$9:$G$145,3,FALSE))</f>
        <v>#N/A</v>
      </c>
      <c r="M275" s="438"/>
      <c r="N275" s="438"/>
      <c r="O275" s="454"/>
      <c r="P275" s="454"/>
      <c r="Q275" s="454"/>
      <c r="R275" s="454"/>
      <c r="S275" s="454"/>
      <c r="T275" s="456"/>
      <c r="U275" s="454"/>
    </row>
    <row r="276" spans="1:21" s="232" customFormat="1" ht="12.75" x14ac:dyDescent="0.2">
      <c r="A276" s="425"/>
      <c r="B276" s="230" t="s">
        <v>9</v>
      </c>
      <c r="C276" s="231"/>
      <c r="D276" s="458"/>
      <c r="E276" s="458"/>
      <c r="F276" s="458"/>
      <c r="G276" s="458"/>
      <c r="H276" s="458"/>
      <c r="I276" s="458"/>
      <c r="J276" s="458"/>
      <c r="K276" s="425"/>
      <c r="L276" s="425"/>
      <c r="M276" s="230" t="s">
        <v>9</v>
      </c>
      <c r="N276" s="231"/>
      <c r="O276" s="457"/>
      <c r="P276" s="457"/>
      <c r="Q276" s="457"/>
      <c r="R276" s="457"/>
      <c r="S276" s="457"/>
      <c r="T276" s="459"/>
      <c r="U276" s="457"/>
    </row>
    <row r="277" spans="1:21" s="232" customFormat="1" ht="18.75" x14ac:dyDescent="0.2">
      <c r="A277" s="498">
        <f>Tableau!AB22</f>
        <v>0</v>
      </c>
      <c r="B277" s="469"/>
      <c r="C277" s="231"/>
      <c r="D277" s="448"/>
      <c r="E277" s="448"/>
      <c r="F277" s="448"/>
      <c r="G277" s="448"/>
      <c r="H277" s="448"/>
      <c r="I277" s="448"/>
      <c r="J277" s="448"/>
      <c r="K277" s="425"/>
      <c r="L277" s="498" t="str">
        <f>Tableau!AB28</f>
        <v/>
      </c>
      <c r="M277" s="231"/>
      <c r="N277" s="231"/>
      <c r="O277" s="448"/>
      <c r="P277" s="448"/>
      <c r="Q277" s="448"/>
      <c r="R277" s="448"/>
      <c r="S277" s="448"/>
      <c r="T277" s="449"/>
      <c r="U277" s="448"/>
    </row>
    <row r="278" spans="1:21" s="232" customFormat="1" ht="20.100000000000001" customHeight="1" x14ac:dyDescent="0.2">
      <c r="A278" s="990" t="e">
        <f>IF(A277="","",VLOOKUP(A277,liste!$A$9:$G$145,2,FALSE))</f>
        <v>#N/A</v>
      </c>
      <c r="B278" s="991" t="e">
        <v>#N/A</v>
      </c>
      <c r="C278" s="991" t="e">
        <v>#N/A</v>
      </c>
      <c r="D278" s="447"/>
      <c r="E278" s="447"/>
      <c r="F278" s="447"/>
      <c r="G278" s="447"/>
      <c r="H278" s="447"/>
      <c r="I278" s="447"/>
      <c r="J278" s="447"/>
      <c r="K278" s="425"/>
      <c r="L278" s="990" t="str">
        <f>IF(L277="","",VLOOKUP(L277,liste!$A$9:$G$145,2,FALSE))</f>
        <v/>
      </c>
      <c r="M278" s="991" t="s">
        <v>288</v>
      </c>
      <c r="N278" s="991" t="s">
        <v>288</v>
      </c>
      <c r="O278" s="447"/>
      <c r="P278" s="447"/>
      <c r="Q278" s="447"/>
      <c r="R278" s="447"/>
      <c r="S278" s="447"/>
      <c r="T278" s="428"/>
      <c r="U278" s="447"/>
    </row>
    <row r="279" spans="1:21" s="232" customFormat="1" ht="20.100000000000001" customHeight="1" x14ac:dyDescent="0.2">
      <c r="A279" s="440"/>
      <c r="B279" s="438"/>
      <c r="C279" s="450" t="e">
        <f>IF(A277="","",VLOOKUP(A277,liste!$A$9:$G$145,4,FALSE))</f>
        <v>#N/A</v>
      </c>
      <c r="D279" s="451"/>
      <c r="E279" s="451"/>
      <c r="F279" s="451"/>
      <c r="G279" s="451"/>
      <c r="H279" s="451"/>
      <c r="I279" s="451"/>
      <c r="J279" s="451"/>
      <c r="K279" s="425"/>
      <c r="L279" s="440"/>
      <c r="M279" s="438"/>
      <c r="N279" s="450" t="str">
        <f>IF(L277="","",VLOOKUP(L277,liste!$A$9:$G$145,4,FALSE))</f>
        <v/>
      </c>
      <c r="O279" s="451"/>
      <c r="P279" s="451"/>
      <c r="Q279" s="451"/>
      <c r="R279" s="451"/>
      <c r="S279" s="451"/>
      <c r="T279" s="452"/>
      <c r="U279" s="451"/>
    </row>
    <row r="280" spans="1:21" s="232" customFormat="1" ht="15.75" x14ac:dyDescent="0.2">
      <c r="A280" s="473" t="e">
        <f>IF(A277="","",VLOOKUP(A277,liste!$A$9:$G$145,3,FALSE))</f>
        <v>#N/A</v>
      </c>
      <c r="B280" s="438"/>
      <c r="C280" s="438"/>
      <c r="D280" s="455"/>
      <c r="E280" s="455"/>
      <c r="F280" s="455"/>
      <c r="G280" s="455"/>
      <c r="H280" s="455"/>
      <c r="I280" s="455"/>
      <c r="J280" s="455"/>
      <c r="K280" s="425"/>
      <c r="L280" s="468" t="str">
        <f>IF(L277="","",VLOOKUP(L277,liste!$A$9:$G$145,3,FALSE))</f>
        <v/>
      </c>
      <c r="M280" s="438"/>
      <c r="N280" s="438"/>
      <c r="O280" s="454"/>
      <c r="P280" s="454"/>
      <c r="Q280" s="454"/>
      <c r="R280" s="454"/>
      <c r="S280" s="454"/>
      <c r="T280" s="456"/>
      <c r="U280" s="454"/>
    </row>
    <row r="281" spans="1:21" s="232" customFormat="1" ht="12.75" x14ac:dyDescent="0.2">
      <c r="A281" s="425"/>
      <c r="B281" s="231"/>
      <c r="C281" s="231"/>
      <c r="D281" s="458"/>
      <c r="E281" s="458"/>
      <c r="F281" s="458"/>
      <c r="G281" s="458"/>
      <c r="H281" s="458"/>
      <c r="I281" s="458"/>
      <c r="J281" s="458"/>
      <c r="K281" s="425"/>
      <c r="L281" s="425"/>
      <c r="M281" s="231"/>
      <c r="N281" s="231"/>
      <c r="O281" s="457"/>
      <c r="P281" s="457"/>
      <c r="Q281" s="457"/>
      <c r="R281" s="457"/>
      <c r="S281" s="457"/>
      <c r="T281" s="459"/>
      <c r="U281" s="457"/>
    </row>
    <row r="282" spans="1:21" s="232" customFormat="1" ht="12.75" x14ac:dyDescent="0.2">
      <c r="A282" s="425"/>
      <c r="B282" s="231"/>
      <c r="C282" s="231"/>
      <c r="D282" s="231"/>
      <c r="E282" s="231"/>
      <c r="F282" s="231"/>
      <c r="G282" s="231"/>
      <c r="H282" s="231"/>
      <c r="I282" s="231"/>
      <c r="J282" s="428"/>
      <c r="K282" s="425"/>
      <c r="L282" s="425"/>
      <c r="M282" s="231"/>
      <c r="N282" s="231"/>
      <c r="O282" s="231"/>
      <c r="P282" s="231"/>
      <c r="Q282" s="231"/>
      <c r="R282" s="231"/>
      <c r="S282" s="231"/>
      <c r="T282" s="231"/>
      <c r="U282" s="428"/>
    </row>
    <row r="283" spans="1:21" s="232" customFormat="1" ht="20.100000000000001" customHeight="1" x14ac:dyDescent="0.2">
      <c r="A283" s="988" t="s">
        <v>90</v>
      </c>
      <c r="B283" s="989"/>
      <c r="C283" s="989"/>
      <c r="D283" s="461" t="s">
        <v>77</v>
      </c>
      <c r="E283" s="461" t="s">
        <v>87</v>
      </c>
      <c r="F283" s="461" t="s">
        <v>88</v>
      </c>
      <c r="G283" s="231"/>
      <c r="H283" s="231"/>
      <c r="I283" s="231"/>
      <c r="J283" s="428"/>
      <c r="K283" s="425"/>
      <c r="L283" s="988" t="s">
        <v>90</v>
      </c>
      <c r="M283" s="989"/>
      <c r="N283" s="989"/>
      <c r="O283" s="461" t="s">
        <v>77</v>
      </c>
      <c r="P283" s="461" t="s">
        <v>87</v>
      </c>
      <c r="Q283" s="461" t="s">
        <v>88</v>
      </c>
      <c r="R283" s="231"/>
      <c r="S283" s="231"/>
      <c r="T283" s="231"/>
      <c r="U283" s="428"/>
    </row>
    <row r="284" spans="1:21" s="232" customFormat="1" ht="20.100000000000001" customHeight="1" x14ac:dyDescent="0.2">
      <c r="A284" s="462" t="str">
        <f>A273</f>
        <v/>
      </c>
      <c r="B284" s="426"/>
      <c r="C284" s="449"/>
      <c r="D284" s="448"/>
      <c r="E284" s="448"/>
      <c r="F284" s="448"/>
      <c r="G284" s="231"/>
      <c r="H284" s="231"/>
      <c r="I284" s="231"/>
      <c r="J284" s="428"/>
      <c r="K284" s="425"/>
      <c r="L284" s="462" t="e">
        <f>L273</f>
        <v>#N/A</v>
      </c>
      <c r="M284" s="426"/>
      <c r="N284" s="449"/>
      <c r="O284" s="448"/>
      <c r="P284" s="448"/>
      <c r="Q284" s="448"/>
      <c r="R284" s="231"/>
      <c r="S284" s="231"/>
      <c r="T284" s="231"/>
      <c r="U284" s="428"/>
    </row>
    <row r="285" spans="1:21" s="232" customFormat="1" ht="20.100000000000001" customHeight="1" x14ac:dyDescent="0.2">
      <c r="A285" s="463"/>
      <c r="B285" s="233"/>
      <c r="C285" s="452"/>
      <c r="D285" s="451"/>
      <c r="E285" s="451"/>
      <c r="F285" s="451"/>
      <c r="G285" s="231"/>
      <c r="H285" s="231"/>
      <c r="I285" s="231"/>
      <c r="J285" s="428"/>
      <c r="K285" s="425"/>
      <c r="L285" s="463"/>
      <c r="M285" s="233"/>
      <c r="N285" s="452"/>
      <c r="O285" s="451"/>
      <c r="P285" s="451"/>
      <c r="Q285" s="451"/>
      <c r="R285" s="231"/>
      <c r="S285" s="231"/>
      <c r="T285" s="231"/>
      <c r="U285" s="428"/>
    </row>
    <row r="286" spans="1:21" s="232" customFormat="1" ht="20.100000000000001" customHeight="1" x14ac:dyDescent="0.2">
      <c r="A286" s="462" t="e">
        <f>A278</f>
        <v>#N/A</v>
      </c>
      <c r="B286" s="426"/>
      <c r="C286" s="449"/>
      <c r="D286" s="448"/>
      <c r="E286" s="448"/>
      <c r="F286" s="448"/>
      <c r="G286" s="231"/>
      <c r="H286" s="231"/>
      <c r="I286" s="231"/>
      <c r="J286" s="428"/>
      <c r="K286" s="425"/>
      <c r="L286" s="462" t="str">
        <f>L278</f>
        <v/>
      </c>
      <c r="M286" s="426"/>
      <c r="N286" s="449"/>
      <c r="O286" s="448"/>
      <c r="P286" s="448"/>
      <c r="Q286" s="448"/>
      <c r="R286" s="231"/>
      <c r="S286" s="231"/>
      <c r="T286" s="231"/>
      <c r="U286" s="428"/>
    </row>
    <row r="287" spans="1:21" s="232" customFormat="1" ht="20.100000000000001" customHeight="1" x14ac:dyDescent="0.2">
      <c r="A287" s="463"/>
      <c r="B287" s="233"/>
      <c r="C287" s="452"/>
      <c r="D287" s="451"/>
      <c r="E287" s="451"/>
      <c r="F287" s="451"/>
      <c r="G287" s="231"/>
      <c r="H287" s="231"/>
      <c r="I287" s="231"/>
      <c r="J287" s="428"/>
      <c r="K287" s="425"/>
      <c r="L287" s="463"/>
      <c r="M287" s="233"/>
      <c r="N287" s="452"/>
      <c r="O287" s="451"/>
      <c r="P287" s="451"/>
      <c r="Q287" s="451"/>
      <c r="R287" s="231"/>
      <c r="S287" s="231"/>
      <c r="T287" s="231"/>
      <c r="U287" s="428"/>
    </row>
    <row r="288" spans="1:21" s="232" customFormat="1" ht="12.75" x14ac:dyDescent="0.2">
      <c r="A288" s="464" t="s">
        <v>91</v>
      </c>
      <c r="B288" s="231"/>
      <c r="C288" s="231"/>
      <c r="D288" s="231"/>
      <c r="E288" s="231"/>
      <c r="F288" s="231"/>
      <c r="G288" s="231"/>
      <c r="H288" s="231"/>
      <c r="I288" s="231"/>
      <c r="J288" s="428"/>
      <c r="K288" s="425"/>
      <c r="L288" s="464" t="s">
        <v>91</v>
      </c>
      <c r="M288" s="231"/>
      <c r="N288" s="231"/>
      <c r="O288" s="231"/>
      <c r="P288" s="231"/>
      <c r="Q288" s="231"/>
      <c r="R288" s="231"/>
      <c r="S288" s="231"/>
      <c r="T288" s="231"/>
      <c r="U288" s="428"/>
    </row>
    <row r="289" spans="1:21" s="232" customFormat="1" ht="12.75" x14ac:dyDescent="0.2">
      <c r="A289" s="425"/>
      <c r="B289" s="231"/>
      <c r="C289" s="231"/>
      <c r="D289" s="231"/>
      <c r="E289" s="231"/>
      <c r="F289" s="231"/>
      <c r="G289" s="231"/>
      <c r="H289" s="231"/>
      <c r="I289" s="231"/>
      <c r="J289" s="428"/>
      <c r="K289" s="425"/>
      <c r="L289" s="425"/>
      <c r="M289" s="231"/>
      <c r="N289" s="231"/>
      <c r="O289" s="231"/>
      <c r="P289" s="231"/>
      <c r="Q289" s="231"/>
      <c r="R289" s="231"/>
      <c r="S289" s="231"/>
      <c r="T289" s="231"/>
      <c r="U289" s="428"/>
    </row>
    <row r="290" spans="1:21" s="232" customFormat="1" ht="12.75" x14ac:dyDescent="0.2">
      <c r="A290" s="465" t="s">
        <v>89</v>
      </c>
      <c r="B290" s="233"/>
      <c r="C290" s="233"/>
      <c r="D290" s="233"/>
      <c r="E290" s="233"/>
      <c r="F290" s="233"/>
      <c r="G290" s="233"/>
      <c r="H290" s="233"/>
      <c r="I290" s="233"/>
      <c r="J290" s="452"/>
      <c r="K290" s="425"/>
      <c r="L290" s="465" t="s">
        <v>89</v>
      </c>
      <c r="M290" s="233"/>
      <c r="N290" s="233"/>
      <c r="O290" s="233"/>
      <c r="P290" s="233"/>
      <c r="Q290" s="233"/>
      <c r="R290" s="233"/>
      <c r="S290" s="233"/>
      <c r="T290" s="233"/>
      <c r="U290" s="452"/>
    </row>
    <row r="291" spans="1:21" s="232" customFormat="1" ht="15.75" customHeight="1" x14ac:dyDescent="0.2">
      <c r="A291" s="1005" t="str">
        <f>$A$1</f>
        <v>Circuit décathlon</v>
      </c>
      <c r="B291" s="1006"/>
      <c r="C291" s="1006"/>
      <c r="D291" s="1006"/>
      <c r="E291" s="1006"/>
      <c r="F291" s="1006"/>
      <c r="G291" s="1006"/>
      <c r="H291" s="1006"/>
      <c r="I291" s="1006"/>
      <c r="J291" s="1007"/>
      <c r="K291" s="425"/>
      <c r="L291" s="1005" t="str">
        <f>$A$1</f>
        <v>Circuit décathlon</v>
      </c>
      <c r="M291" s="1006"/>
      <c r="N291" s="1006"/>
      <c r="O291" s="1006"/>
      <c r="P291" s="1006"/>
      <c r="Q291" s="1006"/>
      <c r="R291" s="1006"/>
      <c r="S291" s="1006"/>
      <c r="T291" s="426"/>
      <c r="U291" s="449"/>
    </row>
    <row r="292" spans="1:21" s="232" customFormat="1" ht="15.75" x14ac:dyDescent="0.2">
      <c r="A292" s="425"/>
      <c r="B292" s="231"/>
      <c r="C292" s="231"/>
      <c r="D292" s="427" t="s">
        <v>83</v>
      </c>
      <c r="E292" s="474">
        <f>Rens!J22</f>
        <v>0</v>
      </c>
      <c r="F292" s="231"/>
      <c r="G292" s="231"/>
      <c r="H292" s="231"/>
      <c r="I292" s="231"/>
      <c r="J292" s="428"/>
      <c r="K292" s="425"/>
      <c r="L292" s="425"/>
      <c r="M292" s="231"/>
      <c r="N292" s="231"/>
      <c r="O292" s="427" t="s">
        <v>83</v>
      </c>
      <c r="P292" s="474">
        <f>Rens!J23</f>
        <v>0</v>
      </c>
      <c r="Q292" s="231"/>
      <c r="R292" s="231"/>
      <c r="S292" s="231"/>
      <c r="T292" s="231"/>
      <c r="U292" s="428"/>
    </row>
    <row r="293" spans="1:21" s="232" customFormat="1" ht="18.75" x14ac:dyDescent="0.2">
      <c r="A293" s="429" t="s">
        <v>84</v>
      </c>
      <c r="B293" s="430" t="str">
        <f>$B$3</f>
        <v>Minimes</v>
      </c>
      <c r="C293" s="231"/>
      <c r="D293" s="231"/>
      <c r="E293" s="231"/>
      <c r="F293" s="231"/>
      <c r="G293" s="231"/>
      <c r="H293" s="231"/>
      <c r="I293" s="231"/>
      <c r="J293" s="428"/>
      <c r="K293" s="425"/>
      <c r="L293" s="429" t="s">
        <v>84</v>
      </c>
      <c r="M293" s="430" t="str">
        <f>$B$3</f>
        <v>Minimes</v>
      </c>
      <c r="N293" s="231"/>
      <c r="O293" s="231"/>
      <c r="P293" s="231"/>
      <c r="Q293" s="231"/>
      <c r="R293" s="231"/>
      <c r="S293" s="231"/>
      <c r="T293" s="231"/>
      <c r="U293" s="428"/>
    </row>
    <row r="294" spans="1:21" s="232" customFormat="1" ht="18.75" x14ac:dyDescent="0.2">
      <c r="A294" s="997" t="str">
        <f>A236</f>
        <v>1/8è de Finale</v>
      </c>
      <c r="B294" s="998"/>
      <c r="C294" s="998"/>
      <c r="D294" s="998"/>
      <c r="E294" s="231"/>
      <c r="F294" s="231"/>
      <c r="G294" s="499" t="str">
        <f>Rens!I22</f>
        <v>K</v>
      </c>
      <c r="H294" s="231"/>
      <c r="I294" s="231"/>
      <c r="J294" s="428"/>
      <c r="K294" s="425"/>
      <c r="L294" s="997" t="str">
        <f>A236</f>
        <v>1/8è de Finale</v>
      </c>
      <c r="M294" s="998"/>
      <c r="N294" s="998"/>
      <c r="O294" s="998"/>
      <c r="P294" s="231"/>
      <c r="Q294" s="231"/>
      <c r="R294" s="499" t="str">
        <f>Rens!I23</f>
        <v>L</v>
      </c>
      <c r="S294" s="231"/>
      <c r="T294" s="499"/>
      <c r="U294" s="428"/>
    </row>
    <row r="295" spans="1:21" s="343" customFormat="1" ht="23.25" x14ac:dyDescent="0.2">
      <c r="A295" s="432"/>
      <c r="B295" s="434" t="str">
        <f>Tableau!P28</f>
        <v/>
      </c>
      <c r="C295" s="345"/>
      <c r="D295" s="345"/>
      <c r="E295" s="344" t="s">
        <v>178</v>
      </c>
      <c r="F295" s="234">
        <f>Rens!K22</f>
        <v>0</v>
      </c>
      <c r="G295" s="345"/>
      <c r="H295" s="345"/>
      <c r="I295" s="345"/>
      <c r="J295" s="431"/>
      <c r="K295" s="432"/>
      <c r="L295" s="432"/>
      <c r="M295" s="434" t="str">
        <f>Tableau!P20</f>
        <v/>
      </c>
      <c r="N295" s="345"/>
      <c r="O295" s="345"/>
      <c r="P295" s="344" t="s">
        <v>178</v>
      </c>
      <c r="Q295" s="234">
        <f>Rens!K23</f>
        <v>0</v>
      </c>
      <c r="R295" s="345"/>
      <c r="S295" s="345"/>
      <c r="T295" s="345"/>
      <c r="U295" s="431"/>
    </row>
    <row r="296" spans="1:21" s="232" customFormat="1" ht="15.75" x14ac:dyDescent="0.2">
      <c r="A296" s="470" t="s">
        <v>85</v>
      </c>
      <c r="B296" s="436" t="str">
        <f>IF(B295="","",VLOOKUP(B295,liste!$A$9:$G$145,2,FALSE))</f>
        <v/>
      </c>
      <c r="C296" s="471"/>
      <c r="D296" s="471"/>
      <c r="E296" s="471"/>
      <c r="F296" s="471"/>
      <c r="G296" s="471"/>
      <c r="H296" s="471"/>
      <c r="I296" s="231"/>
      <c r="J296" s="428"/>
      <c r="K296" s="425"/>
      <c r="L296" s="470" t="s">
        <v>85</v>
      </c>
      <c r="M296" s="436" t="str">
        <f>IF(M295="","",VLOOKUP(M295,liste!$A$9:$G$145,2,FALSE))</f>
        <v/>
      </c>
      <c r="N296" s="471"/>
      <c r="O296" s="471"/>
      <c r="P296" s="471"/>
      <c r="Q296" s="471"/>
      <c r="R296" s="471"/>
      <c r="S296" s="471"/>
      <c r="T296" s="471"/>
      <c r="U296" s="472"/>
    </row>
    <row r="297" spans="1:21" s="232" customFormat="1" ht="20.100000000000001" customHeight="1" x14ac:dyDescent="0.2">
      <c r="A297" s="425"/>
      <c r="B297" s="231"/>
      <c r="C297" s="231"/>
      <c r="D297" s="999" t="s">
        <v>19</v>
      </c>
      <c r="E297" s="1000"/>
      <c r="F297" s="1000"/>
      <c r="G297" s="1000"/>
      <c r="H297" s="1000"/>
      <c r="I297" s="1000"/>
      <c r="J297" s="1001"/>
      <c r="K297" s="425"/>
      <c r="L297" s="443"/>
      <c r="M297" s="444"/>
      <c r="N297" s="444"/>
      <c r="O297" s="1002" t="s">
        <v>19</v>
      </c>
      <c r="P297" s="1003"/>
      <c r="Q297" s="1003"/>
      <c r="R297" s="1003"/>
      <c r="S297" s="1003"/>
      <c r="T297" s="1003"/>
      <c r="U297" s="1004"/>
    </row>
    <row r="298" spans="1:21" s="232" customFormat="1" ht="20.100000000000001" customHeight="1" x14ac:dyDescent="0.2">
      <c r="A298" s="992" t="s">
        <v>86</v>
      </c>
      <c r="B298" s="993"/>
      <c r="C298" s="993"/>
      <c r="D298" s="467">
        <v>1</v>
      </c>
      <c r="E298" s="467">
        <v>2</v>
      </c>
      <c r="F298" s="467">
        <v>3</v>
      </c>
      <c r="G298" s="467">
        <v>4</v>
      </c>
      <c r="H298" s="467">
        <v>5</v>
      </c>
      <c r="I298" s="467">
        <v>6</v>
      </c>
      <c r="J298" s="467">
        <v>7</v>
      </c>
      <c r="K298" s="425"/>
      <c r="L298" s="992" t="s">
        <v>86</v>
      </c>
      <c r="M298" s="993"/>
      <c r="N298" s="993"/>
      <c r="O298" s="445">
        <v>1</v>
      </c>
      <c r="P298" s="445">
        <v>2</v>
      </c>
      <c r="Q298" s="445">
        <v>3</v>
      </c>
      <c r="R298" s="445">
        <v>4</v>
      </c>
      <c r="S298" s="446">
        <v>5</v>
      </c>
      <c r="T298" s="497">
        <v>6</v>
      </c>
      <c r="U298" s="446">
        <v>7</v>
      </c>
    </row>
    <row r="299" spans="1:21" s="232" customFormat="1" ht="20.100000000000001" customHeight="1" x14ac:dyDescent="0.2">
      <c r="A299" s="500"/>
      <c r="B299" s="501"/>
      <c r="C299" s="501"/>
      <c r="D299" s="994" t="s">
        <v>92</v>
      </c>
      <c r="E299" s="995"/>
      <c r="F299" s="995"/>
      <c r="G299" s="995"/>
      <c r="H299" s="995"/>
      <c r="I299" s="995"/>
      <c r="J299" s="996"/>
      <c r="K299" s="425"/>
      <c r="L299" s="500"/>
      <c r="M299" s="501"/>
      <c r="N299" s="501"/>
      <c r="O299" s="994" t="s">
        <v>92</v>
      </c>
      <c r="P299" s="995"/>
      <c r="Q299" s="995"/>
      <c r="R299" s="995"/>
      <c r="S299" s="995"/>
      <c r="T299" s="995"/>
      <c r="U299" s="996"/>
    </row>
    <row r="300" spans="1:21" s="232" customFormat="1" ht="18.75" x14ac:dyDescent="0.2">
      <c r="A300" s="498" t="str">
        <f>Tableau!AB30</f>
        <v/>
      </c>
      <c r="B300" s="231"/>
      <c r="C300" s="231"/>
      <c r="D300" s="447"/>
      <c r="E300" s="447"/>
      <c r="F300" s="447"/>
      <c r="G300" s="447"/>
      <c r="H300" s="447"/>
      <c r="I300" s="447"/>
      <c r="J300" s="447"/>
      <c r="K300" s="425"/>
      <c r="L300" s="498">
        <f>Tableau!AB36</f>
        <v>0</v>
      </c>
      <c r="M300" s="231"/>
      <c r="N300" s="231"/>
      <c r="O300" s="448"/>
      <c r="P300" s="448"/>
      <c r="Q300" s="448"/>
      <c r="R300" s="448"/>
      <c r="S300" s="448"/>
      <c r="T300" s="449"/>
      <c r="U300" s="448"/>
    </row>
    <row r="301" spans="1:21" s="232" customFormat="1" ht="20.100000000000001" customHeight="1" x14ac:dyDescent="0.2">
      <c r="A301" s="990" t="str">
        <f>IF(A300="","",VLOOKUP(A300,liste!$A$9:$G$145,2,FALSE))</f>
        <v/>
      </c>
      <c r="B301" s="991" t="s">
        <v>288</v>
      </c>
      <c r="C301" s="991" t="s">
        <v>288</v>
      </c>
      <c r="D301" s="447"/>
      <c r="E301" s="447"/>
      <c r="F301" s="447"/>
      <c r="G301" s="447"/>
      <c r="H301" s="447"/>
      <c r="I301" s="447"/>
      <c r="J301" s="447"/>
      <c r="K301" s="425"/>
      <c r="L301" s="990" t="e">
        <f>IF(L300="","",VLOOKUP(L300,liste!$A$9:$G$145,2,FALSE))</f>
        <v>#N/A</v>
      </c>
      <c r="M301" s="991" t="e">
        <v>#N/A</v>
      </c>
      <c r="N301" s="991" t="e">
        <v>#N/A</v>
      </c>
      <c r="O301" s="447"/>
      <c r="P301" s="447"/>
      <c r="Q301" s="447"/>
      <c r="R301" s="447"/>
      <c r="S301" s="447"/>
      <c r="T301" s="428"/>
      <c r="U301" s="447"/>
    </row>
    <row r="302" spans="1:21" s="232" customFormat="1" ht="20.100000000000001" customHeight="1" x14ac:dyDescent="0.2">
      <c r="A302" s="440"/>
      <c r="B302" s="438"/>
      <c r="C302" s="450" t="str">
        <f>IF(A300="","",VLOOKUP(A300,liste!$A$9:$G$145,4,FALSE))</f>
        <v/>
      </c>
      <c r="D302" s="451"/>
      <c r="E302" s="451"/>
      <c r="F302" s="451"/>
      <c r="G302" s="451"/>
      <c r="H302" s="451"/>
      <c r="I302" s="451"/>
      <c r="J302" s="451"/>
      <c r="K302" s="425"/>
      <c r="L302" s="440"/>
      <c r="M302" s="438"/>
      <c r="N302" s="450" t="e">
        <f>IF(L300="","",VLOOKUP(L300,liste!$A$9:$G$145,4,FALSE))</f>
        <v>#N/A</v>
      </c>
      <c r="O302" s="451"/>
      <c r="P302" s="451"/>
      <c r="Q302" s="451"/>
      <c r="R302" s="451"/>
      <c r="S302" s="451"/>
      <c r="T302" s="452"/>
      <c r="U302" s="451"/>
    </row>
    <row r="303" spans="1:21" s="232" customFormat="1" ht="15.75" x14ac:dyDescent="0.2">
      <c r="A303" s="453" t="str">
        <f>IF(A300="","",VLOOKUP(A300,liste!$A$9:$G$145,3,FALSE))</f>
        <v/>
      </c>
      <c r="B303" s="438"/>
      <c r="C303" s="438"/>
      <c r="D303" s="455"/>
      <c r="E303" s="455"/>
      <c r="F303" s="455"/>
      <c r="G303" s="455"/>
      <c r="H303" s="455"/>
      <c r="I303" s="455"/>
      <c r="J303" s="455"/>
      <c r="K303" s="425"/>
      <c r="L303" s="453" t="e">
        <f>IF(L300="","",VLOOKUP(L300,liste!$A$9:$G$145,3,FALSE))</f>
        <v>#N/A</v>
      </c>
      <c r="M303" s="438"/>
      <c r="N303" s="438"/>
      <c r="O303" s="454"/>
      <c r="P303" s="454"/>
      <c r="Q303" s="454"/>
      <c r="R303" s="454"/>
      <c r="S303" s="454"/>
      <c r="T303" s="456"/>
      <c r="U303" s="454"/>
    </row>
    <row r="304" spans="1:21" s="232" customFormat="1" ht="12.75" x14ac:dyDescent="0.2">
      <c r="A304" s="425"/>
      <c r="B304" s="230" t="s">
        <v>9</v>
      </c>
      <c r="C304" s="231"/>
      <c r="D304" s="458"/>
      <c r="E304" s="458"/>
      <c r="F304" s="458"/>
      <c r="G304" s="458"/>
      <c r="H304" s="458"/>
      <c r="I304" s="458"/>
      <c r="J304" s="458"/>
      <c r="K304" s="425"/>
      <c r="L304" s="425"/>
      <c r="M304" s="230" t="s">
        <v>9</v>
      </c>
      <c r="N304" s="231"/>
      <c r="O304" s="457"/>
      <c r="P304" s="457"/>
      <c r="Q304" s="457"/>
      <c r="R304" s="457"/>
      <c r="S304" s="457"/>
      <c r="T304" s="459"/>
      <c r="U304" s="457"/>
    </row>
    <row r="305" spans="1:21" s="232" customFormat="1" ht="18.75" x14ac:dyDescent="0.2">
      <c r="A305" s="498">
        <f>Tableau!AB32</f>
        <v>0</v>
      </c>
      <c r="B305" s="231"/>
      <c r="C305" s="231"/>
      <c r="D305" s="448"/>
      <c r="E305" s="448"/>
      <c r="F305" s="448"/>
      <c r="G305" s="448"/>
      <c r="H305" s="448"/>
      <c r="I305" s="448"/>
      <c r="J305" s="448"/>
      <c r="K305" s="425"/>
      <c r="L305" s="498" t="str">
        <f>Tableau!AB38</f>
        <v/>
      </c>
      <c r="M305" s="231"/>
      <c r="N305" s="231"/>
      <c r="O305" s="448"/>
      <c r="P305" s="448"/>
      <c r="Q305" s="448"/>
      <c r="R305" s="448"/>
      <c r="S305" s="448"/>
      <c r="T305" s="449"/>
      <c r="U305" s="448"/>
    </row>
    <row r="306" spans="1:21" s="232" customFormat="1" ht="20.100000000000001" customHeight="1" x14ac:dyDescent="0.2">
      <c r="A306" s="990" t="e">
        <f>IF(A305="","",VLOOKUP(A305,liste!$A$9:$G$145,2,FALSE))</f>
        <v>#N/A</v>
      </c>
      <c r="B306" s="991" t="e">
        <v>#N/A</v>
      </c>
      <c r="C306" s="991" t="e">
        <v>#N/A</v>
      </c>
      <c r="D306" s="447"/>
      <c r="E306" s="447"/>
      <c r="F306" s="447"/>
      <c r="G306" s="447"/>
      <c r="H306" s="447"/>
      <c r="I306" s="447"/>
      <c r="J306" s="447"/>
      <c r="K306" s="425"/>
      <c r="L306" s="990" t="str">
        <f>IF(L305="","",VLOOKUP(L305,liste!$A$9:$G$145,2,FALSE))</f>
        <v/>
      </c>
      <c r="M306" s="991" t="s">
        <v>288</v>
      </c>
      <c r="N306" s="991" t="s">
        <v>288</v>
      </c>
      <c r="O306" s="447"/>
      <c r="P306" s="447"/>
      <c r="Q306" s="447"/>
      <c r="R306" s="447"/>
      <c r="S306" s="447"/>
      <c r="T306" s="428"/>
      <c r="U306" s="447"/>
    </row>
    <row r="307" spans="1:21" s="232" customFormat="1" ht="20.100000000000001" customHeight="1" x14ac:dyDescent="0.2">
      <c r="A307" s="440"/>
      <c r="B307" s="438"/>
      <c r="C307" s="450" t="e">
        <f>IF(A305="","",VLOOKUP(A305,liste!$A$9:$G$145,4,FALSE))</f>
        <v>#N/A</v>
      </c>
      <c r="D307" s="451"/>
      <c r="E307" s="451"/>
      <c r="F307" s="451"/>
      <c r="G307" s="451"/>
      <c r="H307" s="451"/>
      <c r="I307" s="451"/>
      <c r="J307" s="451"/>
      <c r="K307" s="425"/>
      <c r="L307" s="440"/>
      <c r="M307" s="438"/>
      <c r="N307" s="450" t="str">
        <f>IF(L305="","",VLOOKUP(L305,liste!$A$9:$G$145,4,FALSE))</f>
        <v/>
      </c>
      <c r="O307" s="451"/>
      <c r="P307" s="451"/>
      <c r="Q307" s="451"/>
      <c r="R307" s="451"/>
      <c r="S307" s="451"/>
      <c r="T307" s="452"/>
      <c r="U307" s="451"/>
    </row>
    <row r="308" spans="1:21" s="232" customFormat="1" ht="15.75" x14ac:dyDescent="0.2">
      <c r="A308" s="453" t="e">
        <f>IF(A305="","",VLOOKUP(A305,liste!$A$9:$G$145,3,FALSE))</f>
        <v>#N/A</v>
      </c>
      <c r="B308" s="438"/>
      <c r="C308" s="438"/>
      <c r="D308" s="455"/>
      <c r="E308" s="455"/>
      <c r="F308" s="455"/>
      <c r="G308" s="455"/>
      <c r="H308" s="455"/>
      <c r="I308" s="455"/>
      <c r="J308" s="455"/>
      <c r="K308" s="425"/>
      <c r="L308" s="453" t="str">
        <f>IF(L305="","",VLOOKUP(L305,liste!$A$9:$G$145,3,FALSE))</f>
        <v/>
      </c>
      <c r="M308" s="438"/>
      <c r="N308" s="438"/>
      <c r="O308" s="454"/>
      <c r="P308" s="454"/>
      <c r="Q308" s="454"/>
      <c r="R308" s="454"/>
      <c r="S308" s="454"/>
      <c r="T308" s="456"/>
      <c r="U308" s="454"/>
    </row>
    <row r="309" spans="1:21" s="232" customFormat="1" ht="12.75" x14ac:dyDescent="0.2">
      <c r="A309" s="425"/>
      <c r="B309" s="231"/>
      <c r="C309" s="231"/>
      <c r="D309" s="458"/>
      <c r="E309" s="458"/>
      <c r="F309" s="458"/>
      <c r="G309" s="458"/>
      <c r="H309" s="458"/>
      <c r="I309" s="458"/>
      <c r="J309" s="458"/>
      <c r="K309" s="425"/>
      <c r="L309" s="425"/>
      <c r="M309" s="231"/>
      <c r="N309" s="231"/>
      <c r="O309" s="457"/>
      <c r="P309" s="457"/>
      <c r="Q309" s="457"/>
      <c r="R309" s="457"/>
      <c r="S309" s="457"/>
      <c r="T309" s="459"/>
      <c r="U309" s="457"/>
    </row>
    <row r="310" spans="1:21" s="232" customFormat="1" ht="12.75" x14ac:dyDescent="0.2">
      <c r="A310" s="425"/>
      <c r="B310" s="231"/>
      <c r="C310" s="231"/>
      <c r="D310" s="231"/>
      <c r="E310" s="231"/>
      <c r="F310" s="231"/>
      <c r="G310" s="231"/>
      <c r="H310" s="231"/>
      <c r="I310" s="231"/>
      <c r="J310" s="428"/>
      <c r="K310" s="425"/>
      <c r="L310" s="425"/>
      <c r="M310" s="231"/>
      <c r="N310" s="231"/>
      <c r="O310" s="231"/>
      <c r="P310" s="231"/>
      <c r="Q310" s="231"/>
      <c r="R310" s="231"/>
      <c r="S310" s="231"/>
      <c r="T310" s="231"/>
      <c r="U310" s="428"/>
    </row>
    <row r="311" spans="1:21" s="232" customFormat="1" ht="20.100000000000001" customHeight="1" x14ac:dyDescent="0.2">
      <c r="A311" s="988" t="s">
        <v>90</v>
      </c>
      <c r="B311" s="989"/>
      <c r="C311" s="989"/>
      <c r="D311" s="461" t="s">
        <v>77</v>
      </c>
      <c r="E311" s="461" t="s">
        <v>87</v>
      </c>
      <c r="F311" s="461" t="s">
        <v>88</v>
      </c>
      <c r="G311" s="231"/>
      <c r="H311" s="231"/>
      <c r="I311" s="231"/>
      <c r="J311" s="428"/>
      <c r="K311" s="425"/>
      <c r="L311" s="988" t="s">
        <v>90</v>
      </c>
      <c r="M311" s="989"/>
      <c r="N311" s="989"/>
      <c r="O311" s="461" t="s">
        <v>77</v>
      </c>
      <c r="P311" s="461" t="s">
        <v>87</v>
      </c>
      <c r="Q311" s="461" t="s">
        <v>88</v>
      </c>
      <c r="R311" s="231"/>
      <c r="S311" s="231"/>
      <c r="T311" s="231"/>
      <c r="U311" s="428"/>
    </row>
    <row r="312" spans="1:21" s="232" customFormat="1" ht="20.100000000000001" customHeight="1" x14ac:dyDescent="0.2">
      <c r="A312" s="462" t="str">
        <f>A301</f>
        <v/>
      </c>
      <c r="B312" s="426"/>
      <c r="C312" s="449"/>
      <c r="D312" s="448"/>
      <c r="E312" s="448"/>
      <c r="F312" s="448"/>
      <c r="G312" s="231"/>
      <c r="H312" s="231"/>
      <c r="I312" s="231"/>
      <c r="J312" s="428"/>
      <c r="K312" s="425"/>
      <c r="L312" s="462" t="e">
        <f>L301</f>
        <v>#N/A</v>
      </c>
      <c r="M312" s="426"/>
      <c r="N312" s="449"/>
      <c r="O312" s="448"/>
      <c r="P312" s="448"/>
      <c r="Q312" s="448"/>
      <c r="R312" s="231"/>
      <c r="S312" s="231"/>
      <c r="T312" s="231"/>
      <c r="U312" s="428"/>
    </row>
    <row r="313" spans="1:21" s="232" customFormat="1" ht="20.100000000000001" customHeight="1" x14ac:dyDescent="0.2">
      <c r="A313" s="463"/>
      <c r="B313" s="233"/>
      <c r="C313" s="452"/>
      <c r="D313" s="451"/>
      <c r="E313" s="451"/>
      <c r="F313" s="451"/>
      <c r="G313" s="231"/>
      <c r="H313" s="231"/>
      <c r="I313" s="231"/>
      <c r="J313" s="428"/>
      <c r="K313" s="425"/>
      <c r="L313" s="463"/>
      <c r="M313" s="233"/>
      <c r="N313" s="452"/>
      <c r="O313" s="451"/>
      <c r="P313" s="451"/>
      <c r="Q313" s="451"/>
      <c r="R313" s="231"/>
      <c r="S313" s="231"/>
      <c r="T313" s="231"/>
      <c r="U313" s="428"/>
    </row>
    <row r="314" spans="1:21" s="232" customFormat="1" ht="20.100000000000001" customHeight="1" x14ac:dyDescent="0.2">
      <c r="A314" s="462" t="e">
        <f>A306</f>
        <v>#N/A</v>
      </c>
      <c r="B314" s="426"/>
      <c r="C314" s="449"/>
      <c r="D314" s="448"/>
      <c r="E314" s="448"/>
      <c r="F314" s="448"/>
      <c r="G314" s="231"/>
      <c r="H314" s="231"/>
      <c r="I314" s="231"/>
      <c r="J314" s="428"/>
      <c r="K314" s="425"/>
      <c r="L314" s="462" t="str">
        <f>L306</f>
        <v/>
      </c>
      <c r="M314" s="426"/>
      <c r="N314" s="449"/>
      <c r="O314" s="448"/>
      <c r="P314" s="448"/>
      <c r="Q314" s="448"/>
      <c r="R314" s="231"/>
      <c r="S314" s="231"/>
      <c r="T314" s="231"/>
      <c r="U314" s="428"/>
    </row>
    <row r="315" spans="1:21" s="232" customFormat="1" ht="20.100000000000001" customHeight="1" x14ac:dyDescent="0.2">
      <c r="A315" s="463"/>
      <c r="B315" s="233"/>
      <c r="C315" s="452"/>
      <c r="D315" s="451"/>
      <c r="E315" s="451"/>
      <c r="F315" s="451"/>
      <c r="G315" s="231"/>
      <c r="H315" s="231"/>
      <c r="I315" s="231"/>
      <c r="J315" s="428"/>
      <c r="K315" s="425"/>
      <c r="L315" s="463"/>
      <c r="M315" s="233"/>
      <c r="N315" s="452"/>
      <c r="O315" s="451"/>
      <c r="P315" s="451"/>
      <c r="Q315" s="451"/>
      <c r="R315" s="231"/>
      <c r="S315" s="231"/>
      <c r="T315" s="231"/>
      <c r="U315" s="428"/>
    </row>
    <row r="316" spans="1:21" s="232" customFormat="1" ht="12.75" x14ac:dyDescent="0.2">
      <c r="A316" s="464" t="s">
        <v>91</v>
      </c>
      <c r="B316" s="231"/>
      <c r="C316" s="231"/>
      <c r="D316" s="231"/>
      <c r="E316" s="231"/>
      <c r="F316" s="231"/>
      <c r="G316" s="231"/>
      <c r="H316" s="231"/>
      <c r="I316" s="231"/>
      <c r="J316" s="428"/>
      <c r="K316" s="425"/>
      <c r="L316" s="464" t="s">
        <v>91</v>
      </c>
      <c r="M316" s="231"/>
      <c r="N316" s="231"/>
      <c r="O316" s="231"/>
      <c r="P316" s="231"/>
      <c r="Q316" s="231"/>
      <c r="R316" s="231"/>
      <c r="S316" s="231"/>
      <c r="T316" s="231"/>
      <c r="U316" s="428"/>
    </row>
    <row r="317" spans="1:21" s="232" customFormat="1" ht="12.75" x14ac:dyDescent="0.2">
      <c r="A317" s="425"/>
      <c r="B317" s="231"/>
      <c r="C317" s="231"/>
      <c r="D317" s="231"/>
      <c r="E317" s="231"/>
      <c r="F317" s="231"/>
      <c r="G317" s="231"/>
      <c r="H317" s="231"/>
      <c r="I317" s="231"/>
      <c r="J317" s="428"/>
      <c r="K317" s="425"/>
      <c r="L317" s="425"/>
      <c r="M317" s="231"/>
      <c r="N317" s="231"/>
      <c r="O317" s="231"/>
      <c r="P317" s="231"/>
      <c r="Q317" s="231"/>
      <c r="R317" s="231"/>
      <c r="S317" s="231"/>
      <c r="T317" s="231"/>
      <c r="U317" s="428"/>
    </row>
    <row r="318" spans="1:21" s="232" customFormat="1" ht="12.75" x14ac:dyDescent="0.2">
      <c r="A318" s="465" t="s">
        <v>89</v>
      </c>
      <c r="B318" s="233"/>
      <c r="C318" s="233"/>
      <c r="D318" s="233"/>
      <c r="E318" s="233"/>
      <c r="F318" s="233"/>
      <c r="G318" s="233"/>
      <c r="H318" s="233"/>
      <c r="I318" s="233"/>
      <c r="J318" s="452"/>
      <c r="K318" s="425"/>
      <c r="L318" s="465" t="s">
        <v>89</v>
      </c>
      <c r="M318" s="233"/>
      <c r="N318" s="233"/>
      <c r="O318" s="233"/>
      <c r="P318" s="233"/>
      <c r="Q318" s="233"/>
      <c r="R318" s="233"/>
      <c r="S318" s="233"/>
      <c r="T318" s="233"/>
      <c r="U318" s="452"/>
    </row>
    <row r="319" spans="1:21" s="232" customFormat="1" ht="30" customHeight="1" x14ac:dyDescent="0.2"/>
    <row r="320" spans="1:21" s="232" customFormat="1" ht="30" customHeight="1" x14ac:dyDescent="0.2"/>
    <row r="321" spans="1:21" s="232" customFormat="1" ht="20.100000000000001" customHeight="1" x14ac:dyDescent="0.2">
      <c r="A321" s="1005" t="str">
        <f>$A$1</f>
        <v>Circuit décathlon</v>
      </c>
      <c r="B321" s="1006"/>
      <c r="C321" s="1006"/>
      <c r="D321" s="1006"/>
      <c r="E321" s="1006"/>
      <c r="F321" s="1006"/>
      <c r="G321" s="1006"/>
      <c r="H321" s="1006"/>
      <c r="I321" s="1006"/>
      <c r="J321" s="1007"/>
      <c r="K321" s="425"/>
      <c r="L321" s="1005" t="str">
        <f>$A$1</f>
        <v>Circuit décathlon</v>
      </c>
      <c r="M321" s="1006"/>
      <c r="N321" s="1006"/>
      <c r="O321" s="1006"/>
      <c r="P321" s="1006"/>
      <c r="Q321" s="1006"/>
      <c r="R321" s="1006"/>
      <c r="S321" s="1006"/>
      <c r="T321" s="426"/>
      <c r="U321" s="449"/>
    </row>
    <row r="322" spans="1:21" s="232" customFormat="1" ht="15.75" x14ac:dyDescent="0.2">
      <c r="A322" s="425"/>
      <c r="B322" s="231"/>
      <c r="C322" s="231"/>
      <c r="D322" s="427" t="s">
        <v>83</v>
      </c>
      <c r="E322" s="474">
        <f>Rens!J24</f>
        <v>0</v>
      </c>
      <c r="F322" s="231"/>
      <c r="G322" s="231"/>
      <c r="H322" s="231"/>
      <c r="I322" s="231"/>
      <c r="J322" s="428"/>
      <c r="K322" s="425"/>
      <c r="L322" s="425"/>
      <c r="M322" s="231"/>
      <c r="N322" s="231"/>
      <c r="O322" s="427" t="s">
        <v>83</v>
      </c>
      <c r="P322" s="474">
        <f>Rens!J25</f>
        <v>0</v>
      </c>
      <c r="Q322" s="231"/>
      <c r="R322" s="231"/>
      <c r="S322" s="231"/>
      <c r="T322" s="231"/>
      <c r="U322" s="428"/>
    </row>
    <row r="323" spans="1:21" s="232" customFormat="1" ht="18.75" x14ac:dyDescent="0.2">
      <c r="A323" s="429" t="s">
        <v>84</v>
      </c>
      <c r="B323" s="430" t="str">
        <f>$B$3</f>
        <v>Minimes</v>
      </c>
      <c r="C323" s="231"/>
      <c r="D323" s="231"/>
      <c r="E323" s="231"/>
      <c r="F323" s="231"/>
      <c r="G323" s="231"/>
      <c r="H323" s="231"/>
      <c r="I323" s="231"/>
      <c r="J323" s="428"/>
      <c r="K323" s="425"/>
      <c r="L323" s="429" t="s">
        <v>84</v>
      </c>
      <c r="M323" s="430" t="str">
        <f>$B$3</f>
        <v>Minimes</v>
      </c>
      <c r="N323" s="231"/>
      <c r="O323" s="231"/>
      <c r="P323" s="231"/>
      <c r="Q323" s="231"/>
      <c r="R323" s="231"/>
      <c r="S323" s="231"/>
      <c r="T323" s="231"/>
      <c r="U323" s="428"/>
    </row>
    <row r="324" spans="1:21" s="232" customFormat="1" ht="18.75" x14ac:dyDescent="0.2">
      <c r="A324" s="997" t="str">
        <f>A236</f>
        <v>1/8è de Finale</v>
      </c>
      <c r="B324" s="998"/>
      <c r="C324" s="998"/>
      <c r="D324" s="998"/>
      <c r="E324" s="231"/>
      <c r="F324" s="231"/>
      <c r="G324" s="499" t="str">
        <f>Rens!I24</f>
        <v>M</v>
      </c>
      <c r="H324" s="231"/>
      <c r="I324" s="231"/>
      <c r="J324" s="428"/>
      <c r="K324" s="425"/>
      <c r="L324" s="997" t="str">
        <f>A236</f>
        <v>1/8è de Finale</v>
      </c>
      <c r="M324" s="998"/>
      <c r="N324" s="998"/>
      <c r="O324" s="998"/>
      <c r="P324" s="231"/>
      <c r="Q324" s="231"/>
      <c r="R324" s="499" t="str">
        <f>Rens!I25</f>
        <v>N</v>
      </c>
      <c r="S324" s="231"/>
      <c r="T324" s="499"/>
      <c r="U324" s="428"/>
    </row>
    <row r="325" spans="1:21" s="343" customFormat="1" ht="23.25" x14ac:dyDescent="0.2">
      <c r="A325" s="432"/>
      <c r="B325" s="434" t="str">
        <f>Tableau!P18</f>
        <v/>
      </c>
      <c r="C325" s="345"/>
      <c r="D325" s="345"/>
      <c r="E325" s="344" t="s">
        <v>178</v>
      </c>
      <c r="F325" s="234">
        <f>Rens!K24</f>
        <v>0</v>
      </c>
      <c r="G325" s="345"/>
      <c r="H325" s="345"/>
      <c r="I325" s="345"/>
      <c r="J325" s="431"/>
      <c r="K325" s="432"/>
      <c r="L325" s="432"/>
      <c r="M325" s="434" t="str">
        <f>Tableau!P10</f>
        <v/>
      </c>
      <c r="N325" s="345"/>
      <c r="O325" s="345"/>
      <c r="P325" s="344" t="s">
        <v>178</v>
      </c>
      <c r="Q325" s="234">
        <f>Rens!K25</f>
        <v>0</v>
      </c>
      <c r="R325" s="345"/>
      <c r="S325" s="345"/>
      <c r="T325" s="345"/>
      <c r="U325" s="431"/>
    </row>
    <row r="326" spans="1:21" s="232" customFormat="1" ht="15.75" x14ac:dyDescent="0.2">
      <c r="A326" s="470" t="s">
        <v>85</v>
      </c>
      <c r="B326" s="436" t="str">
        <f>IF(B325="","",VLOOKUP(B325,liste!$A$9:$G$145,2,FALSE))</f>
        <v/>
      </c>
      <c r="C326" s="471"/>
      <c r="D326" s="471"/>
      <c r="E326" s="471"/>
      <c r="F326" s="471"/>
      <c r="G326" s="471"/>
      <c r="H326" s="471"/>
      <c r="I326" s="231"/>
      <c r="J326" s="428"/>
      <c r="K326" s="425"/>
      <c r="L326" s="470" t="s">
        <v>85</v>
      </c>
      <c r="M326" s="436" t="str">
        <f>IF(M325="","",VLOOKUP(M325,liste!$A$9:$G$145,2,FALSE))</f>
        <v/>
      </c>
      <c r="N326" s="471"/>
      <c r="O326" s="471"/>
      <c r="P326" s="471"/>
      <c r="Q326" s="471"/>
      <c r="R326" s="471"/>
      <c r="S326" s="471"/>
      <c r="T326" s="471"/>
      <c r="U326" s="472"/>
    </row>
    <row r="327" spans="1:21" s="232" customFormat="1" ht="20.100000000000001" customHeight="1" x14ac:dyDescent="0.2">
      <c r="A327" s="425"/>
      <c r="D327" s="999" t="s">
        <v>19</v>
      </c>
      <c r="E327" s="1000"/>
      <c r="F327" s="1000"/>
      <c r="G327" s="1000"/>
      <c r="H327" s="1000"/>
      <c r="I327" s="1000"/>
      <c r="J327" s="1001"/>
      <c r="K327" s="425"/>
      <c r="L327" s="443"/>
      <c r="M327" s="444"/>
      <c r="N327" s="444"/>
      <c r="O327" s="1002" t="s">
        <v>19</v>
      </c>
      <c r="P327" s="1003"/>
      <c r="Q327" s="1003"/>
      <c r="R327" s="1003"/>
      <c r="S327" s="1003"/>
      <c r="T327" s="1003"/>
      <c r="U327" s="1004"/>
    </row>
    <row r="328" spans="1:21" s="232" customFormat="1" ht="20.100000000000001" customHeight="1" x14ac:dyDescent="0.2">
      <c r="A328" s="992" t="s">
        <v>86</v>
      </c>
      <c r="B328" s="993"/>
      <c r="C328" s="993"/>
      <c r="D328" s="467">
        <v>1</v>
      </c>
      <c r="E328" s="467">
        <v>2</v>
      </c>
      <c r="F328" s="467">
        <v>3</v>
      </c>
      <c r="G328" s="467">
        <v>4</v>
      </c>
      <c r="H328" s="467">
        <v>5</v>
      </c>
      <c r="I328" s="467">
        <v>6</v>
      </c>
      <c r="J328" s="467">
        <v>7</v>
      </c>
      <c r="K328" s="425"/>
      <c r="L328" s="992" t="s">
        <v>86</v>
      </c>
      <c r="M328" s="993"/>
      <c r="N328" s="993"/>
      <c r="O328" s="445">
        <v>1</v>
      </c>
      <c r="P328" s="445">
        <v>2</v>
      </c>
      <c r="Q328" s="445">
        <v>3</v>
      </c>
      <c r="R328" s="445">
        <v>4</v>
      </c>
      <c r="S328" s="446">
        <v>5</v>
      </c>
      <c r="T328" s="497">
        <v>6</v>
      </c>
      <c r="U328" s="446">
        <v>7</v>
      </c>
    </row>
    <row r="329" spans="1:21" s="232" customFormat="1" ht="20.100000000000001" customHeight="1" x14ac:dyDescent="0.2">
      <c r="A329" s="500"/>
      <c r="B329" s="501"/>
      <c r="C329" s="501"/>
      <c r="D329" s="994" t="s">
        <v>92</v>
      </c>
      <c r="E329" s="995"/>
      <c r="F329" s="995"/>
      <c r="G329" s="995"/>
      <c r="H329" s="995"/>
      <c r="I329" s="995"/>
      <c r="J329" s="996"/>
      <c r="K329" s="425"/>
      <c r="L329" s="500"/>
      <c r="M329" s="501"/>
      <c r="N329" s="501"/>
      <c r="O329" s="994" t="s">
        <v>92</v>
      </c>
      <c r="P329" s="995"/>
      <c r="Q329" s="995"/>
      <c r="R329" s="995"/>
      <c r="S329" s="995"/>
      <c r="T329" s="995"/>
      <c r="U329" s="996"/>
    </row>
    <row r="330" spans="1:21" s="232" customFormat="1" ht="18.75" x14ac:dyDescent="0.2">
      <c r="A330" s="498" t="str">
        <f>Tableau!AB40</f>
        <v/>
      </c>
      <c r="C330" s="231"/>
      <c r="D330" s="448"/>
      <c r="E330" s="448"/>
      <c r="F330" s="448"/>
      <c r="G330" s="448"/>
      <c r="H330" s="448"/>
      <c r="I330" s="448"/>
      <c r="J330" s="448"/>
      <c r="K330" s="425"/>
      <c r="L330" s="498">
        <f>Tableau!AB46</f>
        <v>0</v>
      </c>
      <c r="M330" s="231"/>
      <c r="N330" s="231"/>
      <c r="O330" s="448"/>
      <c r="P330" s="448"/>
      <c r="Q330" s="448"/>
      <c r="R330" s="448"/>
      <c r="S330" s="448"/>
      <c r="T330" s="449"/>
      <c r="U330" s="448"/>
    </row>
    <row r="331" spans="1:21" s="232" customFormat="1" ht="20.100000000000001" customHeight="1" x14ac:dyDescent="0.2">
      <c r="A331" s="990" t="str">
        <f>IF(A330="","",VLOOKUP(A330,liste!$A$9:$G$145,2,FALSE))</f>
        <v/>
      </c>
      <c r="B331" s="991" t="s">
        <v>288</v>
      </c>
      <c r="C331" s="991" t="s">
        <v>288</v>
      </c>
      <c r="D331" s="447"/>
      <c r="E331" s="447"/>
      <c r="F331" s="447"/>
      <c r="G331" s="447"/>
      <c r="H331" s="447"/>
      <c r="I331" s="447"/>
      <c r="J331" s="447"/>
      <c r="K331" s="425"/>
      <c r="L331" s="990" t="e">
        <f>IF(L330="","",VLOOKUP(L330,liste!$A$9:$G$145,2,FALSE))</f>
        <v>#N/A</v>
      </c>
      <c r="M331" s="991" t="e">
        <v>#N/A</v>
      </c>
      <c r="N331" s="991" t="e">
        <v>#N/A</v>
      </c>
      <c r="O331" s="447"/>
      <c r="P331" s="447"/>
      <c r="Q331" s="447"/>
      <c r="R331" s="447"/>
      <c r="S331" s="447"/>
      <c r="T331" s="428"/>
      <c r="U331" s="447"/>
    </row>
    <row r="332" spans="1:21" s="232" customFormat="1" ht="20.100000000000001" customHeight="1" x14ac:dyDescent="0.2">
      <c r="A332" s="440"/>
      <c r="B332" s="438"/>
      <c r="C332" s="450" t="str">
        <f>IF(A330="","",VLOOKUP(A330,liste!$A$9:$G$145,4,FALSE))</f>
        <v/>
      </c>
      <c r="D332" s="451"/>
      <c r="E332" s="451"/>
      <c r="F332" s="451"/>
      <c r="G332" s="451"/>
      <c r="H332" s="451"/>
      <c r="I332" s="451"/>
      <c r="J332" s="451"/>
      <c r="K332" s="425"/>
      <c r="L332" s="440"/>
      <c r="M332" s="438"/>
      <c r="N332" s="450" t="e">
        <f>IF(L330="","",VLOOKUP(L330,liste!$A$9:$G$145,4,FALSE))</f>
        <v>#N/A</v>
      </c>
      <c r="O332" s="451"/>
      <c r="P332" s="451"/>
      <c r="Q332" s="451"/>
      <c r="R332" s="451"/>
      <c r="S332" s="451"/>
      <c r="T332" s="452"/>
      <c r="U332" s="451"/>
    </row>
    <row r="333" spans="1:21" s="232" customFormat="1" ht="15.75" x14ac:dyDescent="0.2">
      <c r="A333" s="468" t="str">
        <f>IF(A330="","",VLOOKUP(A330,liste!$A$9:$G$145,3,FALSE))</f>
        <v/>
      </c>
      <c r="B333" s="438"/>
      <c r="C333" s="438"/>
      <c r="D333" s="455"/>
      <c r="E333" s="455"/>
      <c r="F333" s="455"/>
      <c r="G333" s="455"/>
      <c r="H333" s="455"/>
      <c r="I333" s="455"/>
      <c r="J333" s="455"/>
      <c r="K333" s="425"/>
      <c r="L333" s="468" t="e">
        <f>IF(L330="","",VLOOKUP(L330,liste!$A$9:$G$145,3,FALSE))</f>
        <v>#N/A</v>
      </c>
      <c r="M333" s="438"/>
      <c r="N333" s="438"/>
      <c r="O333" s="454"/>
      <c r="P333" s="454"/>
      <c r="Q333" s="454"/>
      <c r="R333" s="454"/>
      <c r="S333" s="454"/>
      <c r="T333" s="456"/>
      <c r="U333" s="454"/>
    </row>
    <row r="334" spans="1:21" s="232" customFormat="1" ht="12.75" x14ac:dyDescent="0.2">
      <c r="A334" s="425"/>
      <c r="B334" s="230" t="s">
        <v>9</v>
      </c>
      <c r="C334" s="231"/>
      <c r="D334" s="458"/>
      <c r="E334" s="458"/>
      <c r="F334" s="458"/>
      <c r="G334" s="458"/>
      <c r="H334" s="458"/>
      <c r="I334" s="458"/>
      <c r="J334" s="458"/>
      <c r="K334" s="425"/>
      <c r="L334" s="425"/>
      <c r="M334" s="230" t="s">
        <v>9</v>
      </c>
      <c r="N334" s="231"/>
      <c r="O334" s="457"/>
      <c r="P334" s="457"/>
      <c r="Q334" s="457"/>
      <c r="R334" s="457"/>
      <c r="S334" s="457"/>
      <c r="T334" s="459"/>
      <c r="U334" s="457"/>
    </row>
    <row r="335" spans="1:21" s="232" customFormat="1" ht="18.75" x14ac:dyDescent="0.2">
      <c r="A335" s="498">
        <f>Tableau!AB42</f>
        <v>0</v>
      </c>
      <c r="B335" s="469"/>
      <c r="C335" s="231"/>
      <c r="D335" s="448"/>
      <c r="E335" s="448"/>
      <c r="F335" s="448"/>
      <c r="G335" s="448"/>
      <c r="H335" s="448"/>
      <c r="I335" s="448"/>
      <c r="J335" s="448"/>
      <c r="K335" s="425"/>
      <c r="L335" s="498" t="str">
        <f>Tableau!AB48</f>
        <v/>
      </c>
      <c r="M335" s="231"/>
      <c r="N335" s="231"/>
      <c r="O335" s="448"/>
      <c r="P335" s="448"/>
      <c r="Q335" s="448"/>
      <c r="R335" s="448"/>
      <c r="S335" s="448"/>
      <c r="T335" s="449"/>
      <c r="U335" s="448"/>
    </row>
    <row r="336" spans="1:21" s="232" customFormat="1" ht="20.100000000000001" customHeight="1" x14ac:dyDescent="0.2">
      <c r="A336" s="990" t="e">
        <f>IF(A335="","",VLOOKUP(A335,liste!$A$9:$G$145,2,FALSE))</f>
        <v>#N/A</v>
      </c>
      <c r="B336" s="991" t="e">
        <v>#N/A</v>
      </c>
      <c r="C336" s="991" t="e">
        <v>#N/A</v>
      </c>
      <c r="D336" s="447"/>
      <c r="E336" s="447"/>
      <c r="F336" s="447"/>
      <c r="G336" s="447"/>
      <c r="H336" s="447"/>
      <c r="I336" s="447"/>
      <c r="J336" s="447"/>
      <c r="K336" s="425"/>
      <c r="L336" s="990" t="str">
        <f>IF(L335="","",VLOOKUP(L335,liste!$A$9:$G$145,2,FALSE))</f>
        <v/>
      </c>
      <c r="M336" s="991" t="s">
        <v>288</v>
      </c>
      <c r="N336" s="991" t="s">
        <v>288</v>
      </c>
      <c r="O336" s="447"/>
      <c r="P336" s="447"/>
      <c r="Q336" s="447"/>
      <c r="R336" s="447"/>
      <c r="S336" s="447"/>
      <c r="T336" s="428"/>
      <c r="U336" s="447"/>
    </row>
    <row r="337" spans="1:21" s="232" customFormat="1" ht="20.100000000000001" customHeight="1" x14ac:dyDescent="0.2">
      <c r="A337" s="440"/>
      <c r="B337" s="438"/>
      <c r="C337" s="450" t="e">
        <f>IF(A335="","",VLOOKUP(A335,liste!$A$9:$G$145,4,FALSE))</f>
        <v>#N/A</v>
      </c>
      <c r="D337" s="451"/>
      <c r="E337" s="451"/>
      <c r="F337" s="451"/>
      <c r="G337" s="451"/>
      <c r="H337" s="451"/>
      <c r="I337" s="451"/>
      <c r="J337" s="451"/>
      <c r="K337" s="425"/>
      <c r="L337" s="440"/>
      <c r="M337" s="438"/>
      <c r="N337" s="450" t="str">
        <f>IF(L335="","",VLOOKUP(L335,liste!$A$9:$G$145,4,FALSE))</f>
        <v/>
      </c>
      <c r="O337" s="451"/>
      <c r="P337" s="451"/>
      <c r="Q337" s="451"/>
      <c r="R337" s="451"/>
      <c r="S337" s="451"/>
      <c r="T337" s="452"/>
      <c r="U337" s="451"/>
    </row>
    <row r="338" spans="1:21" s="232" customFormat="1" ht="15.75" x14ac:dyDescent="0.2">
      <c r="A338" s="473" t="e">
        <f>IF(A335="","",VLOOKUP(A335,liste!$A$9:$G$145,3,FALSE))</f>
        <v>#N/A</v>
      </c>
      <c r="B338" s="438"/>
      <c r="C338" s="438"/>
      <c r="D338" s="455"/>
      <c r="E338" s="455"/>
      <c r="F338" s="455"/>
      <c r="G338" s="455"/>
      <c r="H338" s="455"/>
      <c r="I338" s="455"/>
      <c r="J338" s="455"/>
      <c r="K338" s="425"/>
      <c r="L338" s="468" t="str">
        <f>IF(L335="","",VLOOKUP(L335,liste!$A$9:$G$145,3,FALSE))</f>
        <v/>
      </c>
      <c r="M338" s="438"/>
      <c r="N338" s="438"/>
      <c r="O338" s="454"/>
      <c r="P338" s="454"/>
      <c r="Q338" s="454"/>
      <c r="R338" s="454"/>
      <c r="S338" s="454"/>
      <c r="T338" s="456"/>
      <c r="U338" s="454"/>
    </row>
    <row r="339" spans="1:21" s="232" customFormat="1" ht="12.75" x14ac:dyDescent="0.2">
      <c r="A339" s="425"/>
      <c r="B339" s="231"/>
      <c r="C339" s="231"/>
      <c r="D339" s="458"/>
      <c r="E339" s="458"/>
      <c r="F339" s="458"/>
      <c r="G339" s="458"/>
      <c r="H339" s="458"/>
      <c r="I339" s="458"/>
      <c r="J339" s="458"/>
      <c r="K339" s="425"/>
      <c r="L339" s="425"/>
      <c r="M339" s="231"/>
      <c r="N339" s="231"/>
      <c r="O339" s="457"/>
      <c r="P339" s="457"/>
      <c r="Q339" s="457"/>
      <c r="R339" s="457"/>
      <c r="S339" s="457"/>
      <c r="T339" s="459"/>
      <c r="U339" s="457"/>
    </row>
    <row r="340" spans="1:21" s="232" customFormat="1" ht="12.75" x14ac:dyDescent="0.2">
      <c r="A340" s="425"/>
      <c r="B340" s="231"/>
      <c r="C340" s="231"/>
      <c r="D340" s="231"/>
      <c r="E340" s="231"/>
      <c r="F340" s="231"/>
      <c r="G340" s="231"/>
      <c r="H340" s="231"/>
      <c r="I340" s="231"/>
      <c r="J340" s="428"/>
      <c r="K340" s="425"/>
      <c r="L340" s="425"/>
      <c r="M340" s="231"/>
      <c r="N340" s="231"/>
      <c r="O340" s="231"/>
      <c r="P340" s="231"/>
      <c r="Q340" s="231"/>
      <c r="R340" s="231"/>
      <c r="S340" s="231"/>
      <c r="T340" s="231"/>
      <c r="U340" s="428"/>
    </row>
    <row r="341" spans="1:21" s="232" customFormat="1" ht="20.100000000000001" customHeight="1" x14ac:dyDescent="0.2">
      <c r="A341" s="988" t="s">
        <v>90</v>
      </c>
      <c r="B341" s="989"/>
      <c r="C341" s="989"/>
      <c r="D341" s="461" t="s">
        <v>77</v>
      </c>
      <c r="E341" s="461" t="s">
        <v>87</v>
      </c>
      <c r="F341" s="461" t="s">
        <v>88</v>
      </c>
      <c r="G341" s="231"/>
      <c r="H341" s="231"/>
      <c r="I341" s="231"/>
      <c r="J341" s="428"/>
      <c r="K341" s="425"/>
      <c r="L341" s="988" t="s">
        <v>90</v>
      </c>
      <c r="M341" s="989"/>
      <c r="N341" s="989"/>
      <c r="O341" s="461" t="s">
        <v>77</v>
      </c>
      <c r="P341" s="461" t="s">
        <v>87</v>
      </c>
      <c r="Q341" s="461" t="s">
        <v>88</v>
      </c>
      <c r="R341" s="231"/>
      <c r="S341" s="231"/>
      <c r="T341" s="231"/>
      <c r="U341" s="428"/>
    </row>
    <row r="342" spans="1:21" s="232" customFormat="1" ht="20.100000000000001" customHeight="1" x14ac:dyDescent="0.2">
      <c r="A342" s="462" t="str">
        <f>A331</f>
        <v/>
      </c>
      <c r="B342" s="426"/>
      <c r="C342" s="449"/>
      <c r="D342" s="448"/>
      <c r="E342" s="448"/>
      <c r="F342" s="448"/>
      <c r="G342" s="231"/>
      <c r="H342" s="231"/>
      <c r="I342" s="231"/>
      <c r="J342" s="428"/>
      <c r="K342" s="425"/>
      <c r="L342" s="462" t="e">
        <f>L331</f>
        <v>#N/A</v>
      </c>
      <c r="M342" s="426"/>
      <c r="N342" s="449"/>
      <c r="O342" s="448"/>
      <c r="P342" s="448"/>
      <c r="Q342" s="448"/>
      <c r="R342" s="231"/>
      <c r="S342" s="231"/>
      <c r="T342" s="231"/>
      <c r="U342" s="428"/>
    </row>
    <row r="343" spans="1:21" s="232" customFormat="1" ht="20.100000000000001" customHeight="1" x14ac:dyDescent="0.2">
      <c r="A343" s="463"/>
      <c r="B343" s="233"/>
      <c r="C343" s="452"/>
      <c r="D343" s="451"/>
      <c r="E343" s="451"/>
      <c r="F343" s="451"/>
      <c r="G343" s="231"/>
      <c r="H343" s="231"/>
      <c r="I343" s="231"/>
      <c r="J343" s="428"/>
      <c r="K343" s="425"/>
      <c r="L343" s="463"/>
      <c r="M343" s="233"/>
      <c r="N343" s="452"/>
      <c r="O343" s="451"/>
      <c r="P343" s="451"/>
      <c r="Q343" s="451"/>
      <c r="R343" s="231"/>
      <c r="S343" s="231"/>
      <c r="T343" s="231"/>
      <c r="U343" s="428"/>
    </row>
    <row r="344" spans="1:21" s="232" customFormat="1" ht="20.100000000000001" customHeight="1" x14ac:dyDescent="0.2">
      <c r="A344" s="462" t="e">
        <f>A336</f>
        <v>#N/A</v>
      </c>
      <c r="B344" s="426"/>
      <c r="C344" s="449"/>
      <c r="D344" s="448"/>
      <c r="E344" s="448"/>
      <c r="F344" s="448"/>
      <c r="G344" s="231"/>
      <c r="H344" s="231"/>
      <c r="I344" s="231"/>
      <c r="J344" s="428"/>
      <c r="K344" s="425"/>
      <c r="L344" s="462" t="str">
        <f>L336</f>
        <v/>
      </c>
      <c r="M344" s="426"/>
      <c r="N344" s="449"/>
      <c r="O344" s="448"/>
      <c r="P344" s="448"/>
      <c r="Q344" s="448"/>
      <c r="R344" s="231"/>
      <c r="S344" s="231"/>
      <c r="T344" s="231"/>
      <c r="U344" s="428"/>
    </row>
    <row r="345" spans="1:21" s="232" customFormat="1" ht="20.100000000000001" customHeight="1" x14ac:dyDescent="0.2">
      <c r="A345" s="463"/>
      <c r="B345" s="233"/>
      <c r="C345" s="452"/>
      <c r="D345" s="451"/>
      <c r="E345" s="451"/>
      <c r="F345" s="451"/>
      <c r="G345" s="231"/>
      <c r="H345" s="231"/>
      <c r="I345" s="231"/>
      <c r="J345" s="428"/>
      <c r="K345" s="425"/>
      <c r="L345" s="463"/>
      <c r="M345" s="233"/>
      <c r="N345" s="452"/>
      <c r="O345" s="451"/>
      <c r="P345" s="451"/>
      <c r="Q345" s="451"/>
      <c r="R345" s="231"/>
      <c r="S345" s="231"/>
      <c r="T345" s="231"/>
      <c r="U345" s="428"/>
    </row>
    <row r="346" spans="1:21" s="232" customFormat="1" ht="12.75" x14ac:dyDescent="0.2">
      <c r="A346" s="464" t="s">
        <v>91</v>
      </c>
      <c r="B346" s="231"/>
      <c r="C346" s="231"/>
      <c r="D346" s="231"/>
      <c r="E346" s="231"/>
      <c r="F346" s="231"/>
      <c r="G346" s="231"/>
      <c r="H346" s="231"/>
      <c r="I346" s="231"/>
      <c r="J346" s="428"/>
      <c r="K346" s="425"/>
      <c r="L346" s="464" t="s">
        <v>91</v>
      </c>
      <c r="M346" s="231"/>
      <c r="N346" s="231"/>
      <c r="O346" s="231"/>
      <c r="P346" s="231"/>
      <c r="Q346" s="231"/>
      <c r="R346" s="231"/>
      <c r="S346" s="231"/>
      <c r="T346" s="231"/>
      <c r="U346" s="428"/>
    </row>
    <row r="347" spans="1:21" s="232" customFormat="1" ht="12.75" x14ac:dyDescent="0.2">
      <c r="A347" s="425"/>
      <c r="B347" s="231"/>
      <c r="C347" s="231"/>
      <c r="D347" s="231"/>
      <c r="E347" s="231"/>
      <c r="F347" s="231"/>
      <c r="G347" s="231"/>
      <c r="H347" s="231"/>
      <c r="I347" s="231"/>
      <c r="J347" s="428"/>
      <c r="K347" s="425"/>
      <c r="L347" s="425"/>
      <c r="M347" s="231"/>
      <c r="N347" s="231"/>
      <c r="O347" s="231"/>
      <c r="P347" s="231"/>
      <c r="Q347" s="231"/>
      <c r="R347" s="231"/>
      <c r="S347" s="231"/>
      <c r="T347" s="231"/>
      <c r="U347" s="428"/>
    </row>
    <row r="348" spans="1:21" s="232" customFormat="1" ht="12.75" x14ac:dyDescent="0.2">
      <c r="A348" s="465" t="s">
        <v>89</v>
      </c>
      <c r="B348" s="233"/>
      <c r="C348" s="233"/>
      <c r="D348" s="233"/>
      <c r="E348" s="233"/>
      <c r="F348" s="233"/>
      <c r="G348" s="233"/>
      <c r="H348" s="233"/>
      <c r="I348" s="233"/>
      <c r="J348" s="452"/>
      <c r="K348" s="425"/>
      <c r="L348" s="465" t="s">
        <v>89</v>
      </c>
      <c r="M348" s="233"/>
      <c r="N348" s="233"/>
      <c r="O348" s="233"/>
      <c r="P348" s="233"/>
      <c r="Q348" s="233"/>
      <c r="R348" s="233"/>
      <c r="S348" s="233"/>
      <c r="T348" s="233"/>
      <c r="U348" s="452"/>
    </row>
    <row r="349" spans="1:21" s="232" customFormat="1" ht="20.100000000000001" customHeight="1" x14ac:dyDescent="0.2">
      <c r="A349" s="1005" t="str">
        <f>$A$1</f>
        <v>Circuit décathlon</v>
      </c>
      <c r="B349" s="1006"/>
      <c r="C349" s="1006"/>
      <c r="D349" s="1006"/>
      <c r="E349" s="1006"/>
      <c r="F349" s="1006"/>
      <c r="G349" s="1006"/>
      <c r="H349" s="1006"/>
      <c r="I349" s="1006"/>
      <c r="J349" s="1007"/>
      <c r="K349" s="425"/>
      <c r="L349" s="1005" t="str">
        <f>$A$1</f>
        <v>Circuit décathlon</v>
      </c>
      <c r="M349" s="1006"/>
      <c r="N349" s="1006"/>
      <c r="O349" s="1006"/>
      <c r="P349" s="1006"/>
      <c r="Q349" s="1006"/>
      <c r="R349" s="1006"/>
      <c r="S349" s="1006"/>
      <c r="T349" s="426"/>
      <c r="U349" s="449"/>
    </row>
    <row r="350" spans="1:21" s="232" customFormat="1" ht="15.75" x14ac:dyDescent="0.2">
      <c r="A350" s="425"/>
      <c r="B350" s="231"/>
      <c r="C350" s="231"/>
      <c r="D350" s="427" t="s">
        <v>83</v>
      </c>
      <c r="E350" s="474">
        <f>Rens!F29</f>
        <v>0</v>
      </c>
      <c r="F350" s="231"/>
      <c r="G350" s="231"/>
      <c r="H350" s="231"/>
      <c r="I350" s="231"/>
      <c r="J350" s="428"/>
      <c r="K350" s="425"/>
      <c r="L350" s="425"/>
      <c r="M350" s="231"/>
      <c r="N350" s="231"/>
      <c r="O350" s="427" t="s">
        <v>83</v>
      </c>
      <c r="P350" s="474">
        <f>Rens!F30</f>
        <v>0</v>
      </c>
      <c r="Q350" s="231"/>
      <c r="R350" s="231"/>
      <c r="S350" s="231"/>
      <c r="T350" s="231"/>
      <c r="U350" s="428"/>
    </row>
    <row r="351" spans="1:21" s="343" customFormat="1" ht="18.75" x14ac:dyDescent="0.2">
      <c r="A351" s="429" t="s">
        <v>84</v>
      </c>
      <c r="B351" s="430" t="str">
        <f>liste!$A$6</f>
        <v>Minimes</v>
      </c>
      <c r="C351" s="345"/>
      <c r="D351" s="345"/>
      <c r="E351" s="345"/>
      <c r="F351" s="345"/>
      <c r="G351" s="345"/>
      <c r="H351" s="345"/>
      <c r="I351" s="345"/>
      <c r="J351" s="431"/>
      <c r="K351" s="432"/>
      <c r="L351" s="429" t="s">
        <v>84</v>
      </c>
      <c r="M351" s="430" t="str">
        <f>$B$3</f>
        <v>Minimes</v>
      </c>
      <c r="N351" s="345"/>
      <c r="O351" s="345"/>
      <c r="P351" s="345"/>
      <c r="Q351" s="345"/>
      <c r="R351" s="345"/>
      <c r="S351" s="345"/>
      <c r="T351" s="345"/>
      <c r="U351" s="431"/>
    </row>
    <row r="352" spans="1:21" s="343" customFormat="1" ht="18.75" x14ac:dyDescent="0.2">
      <c r="A352" s="997" t="s">
        <v>197</v>
      </c>
      <c r="B352" s="998"/>
      <c r="C352" s="998"/>
      <c r="D352" s="998"/>
      <c r="E352" s="345"/>
      <c r="F352" s="345"/>
      <c r="G352" s="430" t="str">
        <f>Rens!E29</f>
        <v>W</v>
      </c>
      <c r="H352" s="430"/>
      <c r="I352" s="345"/>
      <c r="J352" s="431"/>
      <c r="K352" s="432"/>
      <c r="L352" s="997" t="str">
        <f>A352</f>
        <v>Places 17 à 24</v>
      </c>
      <c r="M352" s="998"/>
      <c r="N352" s="998"/>
      <c r="O352" s="998"/>
      <c r="P352" s="345"/>
      <c r="Q352" s="345"/>
      <c r="R352" s="430" t="str">
        <f>Rens!E30</f>
        <v>X</v>
      </c>
      <c r="S352" s="430"/>
      <c r="T352" s="430"/>
      <c r="U352" s="433"/>
    </row>
    <row r="353" spans="1:21" s="343" customFormat="1" ht="23.25" x14ac:dyDescent="0.2">
      <c r="A353" s="432"/>
      <c r="B353" s="434" t="str">
        <f>Tableau!AB48</f>
        <v/>
      </c>
      <c r="C353" s="345"/>
      <c r="D353" s="345"/>
      <c r="E353" s="344" t="s">
        <v>178</v>
      </c>
      <c r="F353" s="234">
        <f>Rens!G29</f>
        <v>0</v>
      </c>
      <c r="G353" s="345"/>
      <c r="H353" s="345"/>
      <c r="I353" s="345"/>
      <c r="J353" s="431"/>
      <c r="K353" s="432"/>
      <c r="L353" s="432"/>
      <c r="M353" s="434" t="str">
        <f>Tableau!AB40</f>
        <v/>
      </c>
      <c r="N353" s="345"/>
      <c r="O353" s="345"/>
      <c r="P353" s="344" t="s">
        <v>178</v>
      </c>
      <c r="Q353" s="234">
        <f>Rens!G30</f>
        <v>0</v>
      </c>
      <c r="R353" s="345"/>
      <c r="S353" s="345"/>
      <c r="T353" s="345"/>
      <c r="U353" s="431"/>
    </row>
    <row r="354" spans="1:21" s="442" customFormat="1" ht="15.75" x14ac:dyDescent="0.2">
      <c r="A354" s="435" t="s">
        <v>85</v>
      </c>
      <c r="B354" s="436" t="str">
        <f>IF(B353="","",VLOOKUP(B353,liste!$A$9:$G$145,2,FALSE))</f>
        <v/>
      </c>
      <c r="C354" s="437"/>
      <c r="D354" s="437"/>
      <c r="E354" s="437"/>
      <c r="F354" s="437"/>
      <c r="G354" s="437"/>
      <c r="H354" s="437"/>
      <c r="I354" s="438"/>
      <c r="J354" s="439"/>
      <c r="K354" s="440"/>
      <c r="L354" s="435" t="s">
        <v>85</v>
      </c>
      <c r="M354" s="436" t="str">
        <f>IF(M353="","",VLOOKUP(M353,liste!$A$9:$G$145,2,FALSE))</f>
        <v/>
      </c>
      <c r="N354" s="437"/>
      <c r="O354" s="437"/>
      <c r="P354" s="437"/>
      <c r="Q354" s="437"/>
      <c r="R354" s="437"/>
      <c r="S354" s="437"/>
      <c r="T354" s="437"/>
      <c r="U354" s="441"/>
    </row>
    <row r="355" spans="1:21" s="232" customFormat="1" ht="20.100000000000001" customHeight="1" x14ac:dyDescent="0.2">
      <c r="A355" s="425"/>
      <c r="B355" s="231"/>
      <c r="C355" s="231"/>
      <c r="D355" s="999" t="s">
        <v>19</v>
      </c>
      <c r="E355" s="1000"/>
      <c r="F355" s="1000"/>
      <c r="G355" s="1000"/>
      <c r="H355" s="1000"/>
      <c r="I355" s="1000"/>
      <c r="J355" s="1001"/>
      <c r="K355" s="425"/>
      <c r="L355" s="443"/>
      <c r="M355" s="444"/>
      <c r="N355" s="444"/>
      <c r="O355" s="1002" t="s">
        <v>19</v>
      </c>
      <c r="P355" s="1003"/>
      <c r="Q355" s="1003"/>
      <c r="R355" s="1003"/>
      <c r="S355" s="1003"/>
      <c r="T355" s="1003"/>
      <c r="U355" s="1004"/>
    </row>
    <row r="356" spans="1:21" s="232" customFormat="1" ht="20.100000000000001" customHeight="1" x14ac:dyDescent="0.2">
      <c r="A356" s="992" t="s">
        <v>86</v>
      </c>
      <c r="B356" s="993"/>
      <c r="C356" s="993"/>
      <c r="D356" s="467">
        <v>1</v>
      </c>
      <c r="E356" s="467">
        <v>2</v>
      </c>
      <c r="F356" s="467">
        <v>3</v>
      </c>
      <c r="G356" s="467">
        <v>4</v>
      </c>
      <c r="H356" s="467">
        <v>5</v>
      </c>
      <c r="I356" s="467">
        <v>6</v>
      </c>
      <c r="J356" s="467">
        <v>7</v>
      </c>
      <c r="K356" s="425"/>
      <c r="L356" s="992" t="s">
        <v>86</v>
      </c>
      <c r="M356" s="993"/>
      <c r="N356" s="993"/>
      <c r="O356" s="445">
        <v>1</v>
      </c>
      <c r="P356" s="445">
        <v>2</v>
      </c>
      <c r="Q356" s="445">
        <v>3</v>
      </c>
      <c r="R356" s="445">
        <v>4</v>
      </c>
      <c r="S356" s="446">
        <v>5</v>
      </c>
      <c r="T356" s="497">
        <v>6</v>
      </c>
      <c r="U356" s="446">
        <v>7</v>
      </c>
    </row>
    <row r="357" spans="1:21" s="232" customFormat="1" ht="20.100000000000001" customHeight="1" x14ac:dyDescent="0.2">
      <c r="A357" s="500"/>
      <c r="B357" s="501"/>
      <c r="C357" s="501"/>
      <c r="D357" s="994" t="s">
        <v>92</v>
      </c>
      <c r="E357" s="995"/>
      <c r="F357" s="995"/>
      <c r="G357" s="995"/>
      <c r="H357" s="995"/>
      <c r="I357" s="995"/>
      <c r="J357" s="996"/>
      <c r="K357" s="425"/>
      <c r="L357" s="500"/>
      <c r="M357" s="501"/>
      <c r="N357" s="501"/>
      <c r="O357" s="994" t="s">
        <v>92</v>
      </c>
      <c r="P357" s="995"/>
      <c r="Q357" s="995"/>
      <c r="R357" s="995"/>
      <c r="S357" s="995"/>
      <c r="T357" s="995"/>
      <c r="U357" s="996"/>
    </row>
    <row r="358" spans="1:21" s="232" customFormat="1" ht="18.75" x14ac:dyDescent="0.2">
      <c r="A358" s="498">
        <f>Tableau!K11</f>
        <v>0</v>
      </c>
      <c r="B358" s="231"/>
      <c r="C358" s="231"/>
      <c r="D358" s="447"/>
      <c r="E358" s="447"/>
      <c r="F358" s="447"/>
      <c r="G358" s="447"/>
      <c r="H358" s="447"/>
      <c r="I358" s="447"/>
      <c r="J358" s="447"/>
      <c r="K358" s="425"/>
      <c r="L358" s="498">
        <f>Tableau!K21</f>
        <v>0</v>
      </c>
      <c r="M358" s="231"/>
      <c r="N358" s="231"/>
      <c r="O358" s="448"/>
      <c r="P358" s="448"/>
      <c r="Q358" s="448"/>
      <c r="R358" s="448"/>
      <c r="S358" s="448"/>
      <c r="T358" s="449"/>
      <c r="U358" s="448"/>
    </row>
    <row r="359" spans="1:21" s="232" customFormat="1" ht="20.100000000000001" customHeight="1" x14ac:dyDescent="0.2">
      <c r="A359" s="990" t="e">
        <f>IF(A358="","",VLOOKUP(A358,liste!$A$9:$G$145,2,FALSE))</f>
        <v>#N/A</v>
      </c>
      <c r="B359" s="991" t="e">
        <v>#N/A</v>
      </c>
      <c r="C359" s="991" t="e">
        <v>#N/A</v>
      </c>
      <c r="D359" s="447"/>
      <c r="E359" s="447"/>
      <c r="F359" s="447"/>
      <c r="G359" s="447"/>
      <c r="H359" s="447"/>
      <c r="I359" s="447"/>
      <c r="J359" s="447"/>
      <c r="K359" s="425"/>
      <c r="L359" s="990" t="e">
        <f>IF(L358="","",VLOOKUP(L358,liste!$A$9:$G$145,2,FALSE))</f>
        <v>#N/A</v>
      </c>
      <c r="M359" s="991" t="e">
        <v>#N/A</v>
      </c>
      <c r="N359" s="991" t="e">
        <v>#N/A</v>
      </c>
      <c r="O359" s="447"/>
      <c r="P359" s="447"/>
      <c r="Q359" s="447"/>
      <c r="R359" s="447"/>
      <c r="S359" s="447"/>
      <c r="T359" s="428"/>
      <c r="U359" s="447"/>
    </row>
    <row r="360" spans="1:21" s="232" customFormat="1" ht="20.100000000000001" customHeight="1" x14ac:dyDescent="0.2">
      <c r="A360" s="425"/>
      <c r="B360" s="231"/>
      <c r="C360" s="450" t="e">
        <f>IF(A358="","",VLOOKUP(A358,liste!$A$9:$G$145,4,FALSE))</f>
        <v>#N/A</v>
      </c>
      <c r="D360" s="451"/>
      <c r="E360" s="451"/>
      <c r="F360" s="451"/>
      <c r="G360" s="451"/>
      <c r="H360" s="451"/>
      <c r="I360" s="451"/>
      <c r="J360" s="451"/>
      <c r="K360" s="425"/>
      <c r="L360" s="425"/>
      <c r="M360" s="231"/>
      <c r="N360" s="450" t="e">
        <f>IF(L358="","",VLOOKUP(L358,liste!$A$9:$G$145,4,FALSE))</f>
        <v>#N/A</v>
      </c>
      <c r="O360" s="451"/>
      <c r="P360" s="451"/>
      <c r="Q360" s="451"/>
      <c r="R360" s="451"/>
      <c r="S360" s="451"/>
      <c r="T360" s="452"/>
      <c r="U360" s="451"/>
    </row>
    <row r="361" spans="1:21" s="232" customFormat="1" ht="15.75" x14ac:dyDescent="0.2">
      <c r="A361" s="453" t="e">
        <f>IF(A358="","",VLOOKUP(A358,liste!$A$9:$G$145,3,FALSE))</f>
        <v>#N/A</v>
      </c>
      <c r="B361" s="231"/>
      <c r="C361" s="231"/>
      <c r="D361" s="455"/>
      <c r="E361" s="455"/>
      <c r="F361" s="455"/>
      <c r="G361" s="455"/>
      <c r="H361" s="455"/>
      <c r="I361" s="455"/>
      <c r="J361" s="455"/>
      <c r="K361" s="425"/>
      <c r="L361" s="453" t="e">
        <f>IF(L358="","",VLOOKUP(L358,liste!$A$9:$G$145,3,FALSE))</f>
        <v>#N/A</v>
      </c>
      <c r="M361" s="231"/>
      <c r="N361" s="231"/>
      <c r="O361" s="454"/>
      <c r="P361" s="454"/>
      <c r="Q361" s="454"/>
      <c r="R361" s="454"/>
      <c r="S361" s="454"/>
      <c r="T361" s="456"/>
      <c r="U361" s="454"/>
    </row>
    <row r="362" spans="1:21" s="232" customFormat="1" ht="12.75" x14ac:dyDescent="0.2">
      <c r="A362" s="425"/>
      <c r="B362" s="230" t="s">
        <v>9</v>
      </c>
      <c r="C362" s="231"/>
      <c r="D362" s="458"/>
      <c r="E362" s="458"/>
      <c r="F362" s="458"/>
      <c r="G362" s="458"/>
      <c r="H362" s="458"/>
      <c r="I362" s="458"/>
      <c r="J362" s="458"/>
      <c r="K362" s="425"/>
      <c r="L362" s="425"/>
      <c r="M362" s="230" t="s">
        <v>9</v>
      </c>
      <c r="N362" s="231"/>
      <c r="O362" s="457"/>
      <c r="P362" s="457"/>
      <c r="Q362" s="457"/>
      <c r="R362" s="457"/>
      <c r="S362" s="457"/>
      <c r="T362" s="459"/>
      <c r="U362" s="457"/>
    </row>
    <row r="363" spans="1:21" s="232" customFormat="1" ht="18.75" x14ac:dyDescent="0.2">
      <c r="A363" s="498">
        <f>Tableau!K17</f>
        <v>0</v>
      </c>
      <c r="B363" s="231"/>
      <c r="C363" s="231"/>
      <c r="D363" s="448"/>
      <c r="E363" s="448"/>
      <c r="F363" s="448"/>
      <c r="G363" s="448"/>
      <c r="H363" s="448"/>
      <c r="I363" s="448"/>
      <c r="J363" s="448"/>
      <c r="K363" s="425"/>
      <c r="L363" s="498">
        <f>Tableau!K27</f>
        <v>0</v>
      </c>
      <c r="M363" s="231"/>
      <c r="N363" s="231"/>
      <c r="O363" s="448"/>
      <c r="P363" s="448"/>
      <c r="Q363" s="448"/>
      <c r="R363" s="448"/>
      <c r="S363" s="448"/>
      <c r="T363" s="449"/>
      <c r="U363" s="448"/>
    </row>
    <row r="364" spans="1:21" s="232" customFormat="1" ht="20.100000000000001" customHeight="1" x14ac:dyDescent="0.2">
      <c r="A364" s="990" t="e">
        <f>IF(A363="","",VLOOKUP(A363,liste!$A$9:$G$145,2,FALSE))</f>
        <v>#N/A</v>
      </c>
      <c r="B364" s="991" t="e">
        <v>#N/A</v>
      </c>
      <c r="C364" s="991" t="e">
        <v>#N/A</v>
      </c>
      <c r="D364" s="447"/>
      <c r="E364" s="447"/>
      <c r="F364" s="447"/>
      <c r="G364" s="447"/>
      <c r="H364" s="447"/>
      <c r="I364" s="447"/>
      <c r="J364" s="447"/>
      <c r="K364" s="425"/>
      <c r="L364" s="990" t="e">
        <f>IF(L363="","",VLOOKUP(L363,liste!$A$9:$G$145,2,FALSE))</f>
        <v>#N/A</v>
      </c>
      <c r="M364" s="991" t="e">
        <v>#N/A</v>
      </c>
      <c r="N364" s="991" t="e">
        <v>#N/A</v>
      </c>
      <c r="O364" s="447"/>
      <c r="P364" s="447"/>
      <c r="Q364" s="447"/>
      <c r="R364" s="447"/>
      <c r="S364" s="447"/>
      <c r="T364" s="428"/>
      <c r="U364" s="447"/>
    </row>
    <row r="365" spans="1:21" s="232" customFormat="1" ht="20.100000000000001" customHeight="1" x14ac:dyDescent="0.2">
      <c r="A365" s="425"/>
      <c r="B365" s="231"/>
      <c r="C365" s="460" t="e">
        <f>IF(A363="","",VLOOKUP(A363,liste!$A$9:$G$145,4,FALSE))</f>
        <v>#N/A</v>
      </c>
      <c r="D365" s="451"/>
      <c r="E365" s="451"/>
      <c r="F365" s="451"/>
      <c r="G365" s="451"/>
      <c r="H365" s="451"/>
      <c r="I365" s="451"/>
      <c r="J365" s="451"/>
      <c r="K365" s="425"/>
      <c r="L365" s="425"/>
      <c r="M365" s="231"/>
      <c r="N365" s="460" t="e">
        <f>IF(L363="","",VLOOKUP(L363,liste!$A$9:$G$145,4,FALSE))</f>
        <v>#N/A</v>
      </c>
      <c r="O365" s="451"/>
      <c r="P365" s="451"/>
      <c r="Q365" s="451"/>
      <c r="R365" s="451"/>
      <c r="S365" s="451"/>
      <c r="T365" s="452"/>
      <c r="U365" s="451"/>
    </row>
    <row r="366" spans="1:21" s="232" customFormat="1" ht="15.75" x14ac:dyDescent="0.2">
      <c r="A366" s="453" t="e">
        <f>IF(A363="","",VLOOKUP(A363,liste!$A$9:$G$145,3,FALSE))</f>
        <v>#N/A</v>
      </c>
      <c r="B366" s="231"/>
      <c r="C366" s="231"/>
      <c r="D366" s="455"/>
      <c r="E366" s="455"/>
      <c r="F366" s="455"/>
      <c r="G366" s="455"/>
      <c r="H366" s="455"/>
      <c r="I366" s="455"/>
      <c r="J366" s="455"/>
      <c r="K366" s="425"/>
      <c r="L366" s="453" t="e">
        <f>IF(L363="","",VLOOKUP(L363,liste!$A$9:$G$145,3,FALSE))</f>
        <v>#N/A</v>
      </c>
      <c r="M366" s="231"/>
      <c r="N366" s="231"/>
      <c r="O366" s="454"/>
      <c r="P366" s="454"/>
      <c r="Q366" s="454"/>
      <c r="R366" s="454"/>
      <c r="S366" s="454"/>
      <c r="T366" s="456"/>
      <c r="U366" s="454"/>
    </row>
    <row r="367" spans="1:21" s="232" customFormat="1" ht="12.75" x14ac:dyDescent="0.2">
      <c r="A367" s="425"/>
      <c r="B367" s="231"/>
      <c r="C367" s="231"/>
      <c r="D367" s="458"/>
      <c r="E367" s="458"/>
      <c r="F367" s="458"/>
      <c r="G367" s="458"/>
      <c r="H367" s="458"/>
      <c r="I367" s="458"/>
      <c r="J367" s="458"/>
      <c r="K367" s="425"/>
      <c r="L367" s="425"/>
      <c r="M367" s="231"/>
      <c r="N367" s="231"/>
      <c r="O367" s="457"/>
      <c r="P367" s="457"/>
      <c r="Q367" s="457"/>
      <c r="R367" s="457"/>
      <c r="S367" s="457"/>
      <c r="T367" s="459"/>
      <c r="U367" s="457"/>
    </row>
    <row r="368" spans="1:21" s="232" customFormat="1" ht="12.75" x14ac:dyDescent="0.2">
      <c r="A368" s="425"/>
      <c r="B368" s="231"/>
      <c r="C368" s="231"/>
      <c r="D368" s="231"/>
      <c r="E368" s="231"/>
      <c r="F368" s="231"/>
      <c r="G368" s="231"/>
      <c r="H368" s="231"/>
      <c r="I368" s="231"/>
      <c r="J368" s="428"/>
      <c r="K368" s="425"/>
      <c r="L368" s="425"/>
      <c r="M368" s="231"/>
      <c r="N368" s="231"/>
      <c r="O368" s="231"/>
      <c r="P368" s="231"/>
      <c r="Q368" s="231"/>
      <c r="R368" s="231"/>
      <c r="S368" s="231"/>
      <c r="T368" s="231"/>
      <c r="U368" s="428"/>
    </row>
    <row r="369" spans="1:21" s="232" customFormat="1" ht="20.100000000000001" customHeight="1" x14ac:dyDescent="0.2">
      <c r="A369" s="988" t="s">
        <v>90</v>
      </c>
      <c r="B369" s="989"/>
      <c r="C369" s="989"/>
      <c r="D369" s="461" t="s">
        <v>77</v>
      </c>
      <c r="E369" s="461" t="s">
        <v>87</v>
      </c>
      <c r="F369" s="461" t="s">
        <v>88</v>
      </c>
      <c r="G369" s="231"/>
      <c r="H369" s="231"/>
      <c r="I369" s="231"/>
      <c r="J369" s="428"/>
      <c r="K369" s="425"/>
      <c r="L369" s="988" t="s">
        <v>90</v>
      </c>
      <c r="M369" s="989"/>
      <c r="N369" s="989"/>
      <c r="O369" s="461" t="s">
        <v>77</v>
      </c>
      <c r="P369" s="461" t="s">
        <v>87</v>
      </c>
      <c r="Q369" s="461" t="s">
        <v>88</v>
      </c>
      <c r="R369" s="231"/>
      <c r="S369" s="231"/>
      <c r="T369" s="231"/>
      <c r="U369" s="428"/>
    </row>
    <row r="370" spans="1:21" s="232" customFormat="1" ht="20.100000000000001" customHeight="1" x14ac:dyDescent="0.2">
      <c r="A370" s="462" t="e">
        <f>A359</f>
        <v>#N/A</v>
      </c>
      <c r="B370" s="426"/>
      <c r="C370" s="449"/>
      <c r="D370" s="448"/>
      <c r="E370" s="448"/>
      <c r="F370" s="448"/>
      <c r="G370" s="231"/>
      <c r="H370" s="231"/>
      <c r="I370" s="231"/>
      <c r="J370" s="428"/>
      <c r="K370" s="425"/>
      <c r="L370" s="462" t="e">
        <f>L359</f>
        <v>#N/A</v>
      </c>
      <c r="M370" s="426"/>
      <c r="N370" s="449"/>
      <c r="O370" s="448"/>
      <c r="P370" s="448"/>
      <c r="Q370" s="448"/>
      <c r="R370" s="231"/>
      <c r="S370" s="231"/>
      <c r="T370" s="231"/>
      <c r="U370" s="428"/>
    </row>
    <row r="371" spans="1:21" s="232" customFormat="1" ht="20.100000000000001" customHeight="1" x14ac:dyDescent="0.2">
      <c r="A371" s="463"/>
      <c r="B371" s="233"/>
      <c r="C371" s="452"/>
      <c r="D371" s="451"/>
      <c r="E371" s="451"/>
      <c r="F371" s="451"/>
      <c r="G371" s="231"/>
      <c r="H371" s="231"/>
      <c r="I371" s="231"/>
      <c r="J371" s="428"/>
      <c r="K371" s="425"/>
      <c r="L371" s="463"/>
      <c r="M371" s="233"/>
      <c r="N371" s="452"/>
      <c r="O371" s="451"/>
      <c r="P371" s="451"/>
      <c r="Q371" s="451"/>
      <c r="R371" s="231"/>
      <c r="S371" s="231"/>
      <c r="T371" s="231"/>
      <c r="U371" s="428"/>
    </row>
    <row r="372" spans="1:21" s="232" customFormat="1" ht="20.100000000000001" customHeight="1" x14ac:dyDescent="0.2">
      <c r="A372" s="462" t="e">
        <f>A364</f>
        <v>#N/A</v>
      </c>
      <c r="B372" s="426"/>
      <c r="C372" s="449"/>
      <c r="D372" s="448"/>
      <c r="E372" s="448"/>
      <c r="F372" s="448"/>
      <c r="G372" s="231"/>
      <c r="H372" s="231"/>
      <c r="I372" s="231"/>
      <c r="J372" s="428"/>
      <c r="K372" s="425"/>
      <c r="L372" s="462" t="e">
        <f>L364</f>
        <v>#N/A</v>
      </c>
      <c r="M372" s="426"/>
      <c r="N372" s="449"/>
      <c r="O372" s="448"/>
      <c r="P372" s="448"/>
      <c r="Q372" s="448"/>
      <c r="R372" s="231"/>
      <c r="S372" s="231"/>
      <c r="T372" s="231"/>
      <c r="U372" s="428"/>
    </row>
    <row r="373" spans="1:21" s="232" customFormat="1" ht="20.100000000000001" customHeight="1" x14ac:dyDescent="0.2">
      <c r="A373" s="463"/>
      <c r="B373" s="233"/>
      <c r="C373" s="452"/>
      <c r="D373" s="451"/>
      <c r="E373" s="451"/>
      <c r="F373" s="451"/>
      <c r="G373" s="231"/>
      <c r="H373" s="231"/>
      <c r="I373" s="231"/>
      <c r="J373" s="428"/>
      <c r="K373" s="425"/>
      <c r="L373" s="463"/>
      <c r="M373" s="233"/>
      <c r="N373" s="452"/>
      <c r="O373" s="451"/>
      <c r="P373" s="451"/>
      <c r="Q373" s="451"/>
      <c r="R373" s="231"/>
      <c r="S373" s="231"/>
      <c r="T373" s="231"/>
      <c r="U373" s="428"/>
    </row>
    <row r="374" spans="1:21" s="232" customFormat="1" ht="12.75" x14ac:dyDescent="0.2">
      <c r="A374" s="464" t="s">
        <v>91</v>
      </c>
      <c r="B374" s="231"/>
      <c r="C374" s="231"/>
      <c r="D374" s="231"/>
      <c r="E374" s="231"/>
      <c r="F374" s="231"/>
      <c r="G374" s="231"/>
      <c r="H374" s="231"/>
      <c r="I374" s="231"/>
      <c r="J374" s="428"/>
      <c r="K374" s="425"/>
      <c r="L374" s="464" t="s">
        <v>91</v>
      </c>
      <c r="M374" s="231"/>
      <c r="N374" s="231"/>
      <c r="O374" s="231"/>
      <c r="P374" s="231"/>
      <c r="Q374" s="231"/>
      <c r="R374" s="231"/>
      <c r="S374" s="231"/>
      <c r="T374" s="231"/>
      <c r="U374" s="428"/>
    </row>
    <row r="375" spans="1:21" s="232" customFormat="1" ht="12.75" x14ac:dyDescent="0.2">
      <c r="A375" s="425"/>
      <c r="B375" s="231"/>
      <c r="C375" s="231"/>
      <c r="D375" s="231"/>
      <c r="E375" s="231"/>
      <c r="F375" s="231"/>
      <c r="G375" s="231"/>
      <c r="H375" s="231"/>
      <c r="I375" s="231"/>
      <c r="J375" s="428"/>
      <c r="K375" s="425"/>
      <c r="L375" s="425"/>
      <c r="M375" s="231"/>
      <c r="N375" s="231"/>
      <c r="O375" s="231"/>
      <c r="P375" s="231"/>
      <c r="Q375" s="231"/>
      <c r="R375" s="231"/>
      <c r="S375" s="231"/>
      <c r="T375" s="231"/>
      <c r="U375" s="428"/>
    </row>
    <row r="376" spans="1:21" s="232" customFormat="1" ht="12.75" x14ac:dyDescent="0.2">
      <c r="A376" s="465" t="s">
        <v>89</v>
      </c>
      <c r="B376" s="233"/>
      <c r="C376" s="233"/>
      <c r="D376" s="233"/>
      <c r="E376" s="233"/>
      <c r="F376" s="233"/>
      <c r="G376" s="233"/>
      <c r="H376" s="233"/>
      <c r="I376" s="233"/>
      <c r="J376" s="452"/>
      <c r="K376" s="425"/>
      <c r="L376" s="465" t="s">
        <v>89</v>
      </c>
      <c r="M376" s="233"/>
      <c r="N376" s="233"/>
      <c r="O376" s="233"/>
      <c r="P376" s="233"/>
      <c r="Q376" s="233"/>
      <c r="R376" s="233"/>
      <c r="S376" s="233"/>
      <c r="T376" s="233"/>
      <c r="U376" s="452"/>
    </row>
    <row r="377" spans="1:21" s="232" customFormat="1" ht="30" customHeight="1" x14ac:dyDescent="0.2"/>
    <row r="378" spans="1:21" s="232" customFormat="1" ht="30" customHeight="1" x14ac:dyDescent="0.2"/>
    <row r="379" spans="1:21" s="232" customFormat="1" ht="20.100000000000001" customHeight="1" x14ac:dyDescent="0.2">
      <c r="A379" s="1005" t="str">
        <f>$A$1</f>
        <v>Circuit décathlon</v>
      </c>
      <c r="B379" s="1006"/>
      <c r="C379" s="1006"/>
      <c r="D379" s="1006"/>
      <c r="E379" s="1006"/>
      <c r="F379" s="1006"/>
      <c r="G379" s="1006"/>
      <c r="H379" s="1006"/>
      <c r="I379" s="1006"/>
      <c r="J379" s="1007"/>
      <c r="K379" s="425"/>
      <c r="L379" s="1005" t="str">
        <f>$A$1</f>
        <v>Circuit décathlon</v>
      </c>
      <c r="M379" s="1006"/>
      <c r="N379" s="1006"/>
      <c r="O379" s="1006"/>
      <c r="P379" s="1006"/>
      <c r="Q379" s="1006"/>
      <c r="R379" s="1006"/>
      <c r="S379" s="1006"/>
      <c r="T379" s="426"/>
      <c r="U379" s="449"/>
    </row>
    <row r="380" spans="1:21" s="232" customFormat="1" ht="15.75" x14ac:dyDescent="0.2">
      <c r="A380" s="425"/>
      <c r="B380" s="231"/>
      <c r="C380" s="231"/>
      <c r="D380" s="427" t="s">
        <v>83</v>
      </c>
      <c r="E380" s="474">
        <f>Rens!F31</f>
        <v>0</v>
      </c>
      <c r="F380" s="474"/>
      <c r="G380" s="231"/>
      <c r="H380" s="231"/>
      <c r="I380" s="231"/>
      <c r="J380" s="428"/>
      <c r="K380" s="425"/>
      <c r="L380" s="425"/>
      <c r="M380" s="231"/>
      <c r="N380" s="231"/>
      <c r="O380" s="427" t="s">
        <v>83</v>
      </c>
      <c r="P380" s="474">
        <f>Rens!F32</f>
        <v>0</v>
      </c>
      <c r="Q380" s="474"/>
      <c r="R380" s="231"/>
      <c r="S380" s="231"/>
      <c r="T380" s="231"/>
      <c r="U380" s="428"/>
    </row>
    <row r="381" spans="1:21" s="343" customFormat="1" ht="18.75" x14ac:dyDescent="0.2">
      <c r="A381" s="429" t="s">
        <v>84</v>
      </c>
      <c r="B381" s="430" t="str">
        <f>$B$3</f>
        <v>Minimes</v>
      </c>
      <c r="C381" s="345"/>
      <c r="D381" s="345"/>
      <c r="E381" s="345"/>
      <c r="F381" s="345"/>
      <c r="G381" s="345"/>
      <c r="H381" s="345"/>
      <c r="I381" s="345"/>
      <c r="J381" s="431"/>
      <c r="K381" s="432"/>
      <c r="L381" s="429" t="s">
        <v>84</v>
      </c>
      <c r="M381" s="430" t="str">
        <f>$B$3</f>
        <v>Minimes</v>
      </c>
      <c r="N381" s="345"/>
      <c r="O381" s="345"/>
      <c r="P381" s="345"/>
      <c r="Q381" s="345"/>
      <c r="R381" s="345"/>
      <c r="S381" s="345"/>
      <c r="T381" s="345"/>
      <c r="U381" s="431"/>
    </row>
    <row r="382" spans="1:21" s="343" customFormat="1" ht="18.75" x14ac:dyDescent="0.2">
      <c r="A382" s="997" t="str">
        <f>A352</f>
        <v>Places 17 à 24</v>
      </c>
      <c r="B382" s="998"/>
      <c r="C382" s="998"/>
      <c r="D382" s="998"/>
      <c r="E382" s="345"/>
      <c r="F382" s="345"/>
      <c r="G382" s="430" t="str">
        <f>Rens!E31</f>
        <v>Y</v>
      </c>
      <c r="H382" s="430"/>
      <c r="I382" s="345"/>
      <c r="J382" s="431"/>
      <c r="K382" s="432"/>
      <c r="L382" s="997" t="str">
        <f>A352</f>
        <v>Places 17 à 24</v>
      </c>
      <c r="M382" s="998"/>
      <c r="N382" s="998"/>
      <c r="O382" s="998"/>
      <c r="P382" s="345"/>
      <c r="Q382" s="345"/>
      <c r="R382" s="466" t="str">
        <f>Rens!E32</f>
        <v>Z</v>
      </c>
      <c r="S382" s="430"/>
      <c r="T382" s="466"/>
      <c r="U382" s="433"/>
    </row>
    <row r="383" spans="1:21" s="343" customFormat="1" ht="23.25" x14ac:dyDescent="0.2">
      <c r="A383" s="432"/>
      <c r="B383" s="434" t="str">
        <f>Tableau!AB38</f>
        <v/>
      </c>
      <c r="C383" s="345"/>
      <c r="D383" s="345"/>
      <c r="E383" s="344" t="s">
        <v>178</v>
      </c>
      <c r="F383" s="234">
        <f>Rens!G31</f>
        <v>0</v>
      </c>
      <c r="G383" s="345"/>
      <c r="H383" s="345"/>
      <c r="I383" s="345"/>
      <c r="J383" s="431"/>
      <c r="K383" s="432"/>
      <c r="L383" s="432"/>
      <c r="M383" s="434" t="str">
        <f>Tableau!AB30</f>
        <v/>
      </c>
      <c r="N383" s="345"/>
      <c r="O383" s="345"/>
      <c r="P383" s="344" t="s">
        <v>178</v>
      </c>
      <c r="Q383" s="234">
        <f>Rens!G32</f>
        <v>0</v>
      </c>
      <c r="R383" s="345"/>
      <c r="S383" s="345"/>
      <c r="T383" s="345"/>
      <c r="U383" s="431"/>
    </row>
    <row r="384" spans="1:21" s="442" customFormat="1" ht="15.75" x14ac:dyDescent="0.2">
      <c r="A384" s="435" t="s">
        <v>85</v>
      </c>
      <c r="B384" s="436" t="str">
        <f>IF(B383="","",VLOOKUP(B383,liste!$A$9:$G$145,2,FALSE))</f>
        <v/>
      </c>
      <c r="C384" s="437"/>
      <c r="D384" s="437"/>
      <c r="E384" s="437"/>
      <c r="F384" s="437"/>
      <c r="G384" s="437"/>
      <c r="H384" s="437"/>
      <c r="I384" s="438"/>
      <c r="J384" s="439"/>
      <c r="K384" s="440"/>
      <c r="L384" s="435" t="s">
        <v>85</v>
      </c>
      <c r="M384" s="436" t="str">
        <f>IF(M383="","",VLOOKUP(M383,liste!$A$9:$G$145,2,FALSE))</f>
        <v/>
      </c>
      <c r="N384" s="437"/>
      <c r="O384" s="437"/>
      <c r="P384" s="437"/>
      <c r="Q384" s="437"/>
      <c r="R384" s="437"/>
      <c r="S384" s="437"/>
      <c r="T384" s="437"/>
      <c r="U384" s="441"/>
    </row>
    <row r="385" spans="1:21" s="232" customFormat="1" ht="20.100000000000001" customHeight="1" x14ac:dyDescent="0.2">
      <c r="A385" s="425"/>
      <c r="D385" s="999" t="s">
        <v>19</v>
      </c>
      <c r="E385" s="1000"/>
      <c r="F385" s="1000"/>
      <c r="G385" s="1000"/>
      <c r="H385" s="1000"/>
      <c r="I385" s="1000"/>
      <c r="J385" s="1001"/>
      <c r="K385" s="425"/>
      <c r="L385" s="443"/>
      <c r="M385" s="444"/>
      <c r="N385" s="444"/>
      <c r="O385" s="1002" t="s">
        <v>19</v>
      </c>
      <c r="P385" s="1003"/>
      <c r="Q385" s="1003"/>
      <c r="R385" s="1003"/>
      <c r="S385" s="1003"/>
      <c r="T385" s="1003"/>
      <c r="U385" s="1004"/>
    </row>
    <row r="386" spans="1:21" s="232" customFormat="1" ht="20.100000000000001" customHeight="1" x14ac:dyDescent="0.2">
      <c r="A386" s="992" t="s">
        <v>86</v>
      </c>
      <c r="B386" s="993"/>
      <c r="C386" s="993"/>
      <c r="D386" s="467">
        <v>1</v>
      </c>
      <c r="E386" s="467">
        <v>2</v>
      </c>
      <c r="F386" s="467">
        <v>3</v>
      </c>
      <c r="G386" s="467">
        <v>4</v>
      </c>
      <c r="H386" s="467">
        <v>5</v>
      </c>
      <c r="I386" s="467">
        <v>6</v>
      </c>
      <c r="J386" s="467">
        <v>7</v>
      </c>
      <c r="K386" s="425"/>
      <c r="L386" s="992" t="s">
        <v>86</v>
      </c>
      <c r="M386" s="993"/>
      <c r="N386" s="993"/>
      <c r="O386" s="445">
        <v>1</v>
      </c>
      <c r="P386" s="445">
        <v>2</v>
      </c>
      <c r="Q386" s="445">
        <v>3</v>
      </c>
      <c r="R386" s="445">
        <v>4</v>
      </c>
      <c r="S386" s="446">
        <v>5</v>
      </c>
      <c r="T386" s="497">
        <v>6</v>
      </c>
      <c r="U386" s="446">
        <v>7</v>
      </c>
    </row>
    <row r="387" spans="1:21" s="232" customFormat="1" ht="20.100000000000001" customHeight="1" x14ac:dyDescent="0.2">
      <c r="A387" s="500"/>
      <c r="B387" s="501"/>
      <c r="C387" s="501"/>
      <c r="D387" s="994" t="s">
        <v>92</v>
      </c>
      <c r="E387" s="995"/>
      <c r="F387" s="995"/>
      <c r="G387" s="995"/>
      <c r="H387" s="995"/>
      <c r="I387" s="995"/>
      <c r="J387" s="996"/>
      <c r="K387" s="425"/>
      <c r="L387" s="500"/>
      <c r="M387" s="501"/>
      <c r="N387" s="501"/>
      <c r="O387" s="994" t="s">
        <v>92</v>
      </c>
      <c r="P387" s="995"/>
      <c r="Q387" s="995"/>
      <c r="R387" s="995"/>
      <c r="S387" s="995"/>
      <c r="T387" s="995"/>
      <c r="U387" s="996"/>
    </row>
    <row r="388" spans="1:21" s="232" customFormat="1" ht="18.75" x14ac:dyDescent="0.2">
      <c r="A388" s="498">
        <f>Tableau!K31</f>
        <v>0</v>
      </c>
      <c r="C388" s="231"/>
      <c r="D388" s="448"/>
      <c r="E388" s="448"/>
      <c r="F388" s="448"/>
      <c r="G388" s="448"/>
      <c r="H388" s="448"/>
      <c r="I388" s="448"/>
      <c r="J388" s="448"/>
      <c r="K388" s="425"/>
      <c r="L388" s="498">
        <f>Tableau!K41</f>
        <v>0</v>
      </c>
      <c r="M388" s="231"/>
      <c r="N388" s="231"/>
      <c r="O388" s="448"/>
      <c r="P388" s="448"/>
      <c r="Q388" s="448"/>
      <c r="R388" s="448"/>
      <c r="S388" s="448"/>
      <c r="T388" s="449"/>
      <c r="U388" s="448"/>
    </row>
    <row r="389" spans="1:21" s="232" customFormat="1" ht="20.100000000000001" customHeight="1" x14ac:dyDescent="0.2">
      <c r="A389" s="990" t="e">
        <f>IF(A388="","",VLOOKUP(A388,liste!$A$9:$G$145,2,FALSE))</f>
        <v>#N/A</v>
      </c>
      <c r="B389" s="991" t="e">
        <v>#N/A</v>
      </c>
      <c r="C389" s="991" t="e">
        <v>#N/A</v>
      </c>
      <c r="D389" s="447"/>
      <c r="E389" s="447"/>
      <c r="F389" s="447"/>
      <c r="G389" s="447"/>
      <c r="H389" s="447"/>
      <c r="I389" s="447"/>
      <c r="J389" s="447"/>
      <c r="K389" s="425"/>
      <c r="L389" s="990" t="e">
        <f>IF(L388="","",VLOOKUP(L388,liste!$A$9:$G$145,2,FALSE))</f>
        <v>#N/A</v>
      </c>
      <c r="M389" s="991" t="e">
        <v>#N/A</v>
      </c>
      <c r="N389" s="991" t="e">
        <v>#N/A</v>
      </c>
      <c r="O389" s="447"/>
      <c r="P389" s="447"/>
      <c r="Q389" s="447"/>
      <c r="R389" s="447"/>
      <c r="S389" s="447"/>
      <c r="T389" s="428"/>
      <c r="U389" s="447"/>
    </row>
    <row r="390" spans="1:21" s="232" customFormat="1" ht="20.100000000000001" customHeight="1" x14ac:dyDescent="0.2">
      <c r="A390" s="440"/>
      <c r="B390" s="438"/>
      <c r="C390" s="450" t="e">
        <f>IF(A388="","",VLOOKUP(A388,liste!$A$9:$G$145,4,FALSE))</f>
        <v>#N/A</v>
      </c>
      <c r="D390" s="451"/>
      <c r="E390" s="451"/>
      <c r="F390" s="451"/>
      <c r="G390" s="451"/>
      <c r="H390" s="451"/>
      <c r="I390" s="451"/>
      <c r="J390" s="451"/>
      <c r="K390" s="425"/>
      <c r="L390" s="440"/>
      <c r="M390" s="438"/>
      <c r="N390" s="450" t="e">
        <f>IF(L388="","",VLOOKUP(L388,liste!$A$9:$G$145,4,FALSE))</f>
        <v>#N/A</v>
      </c>
      <c r="O390" s="451"/>
      <c r="P390" s="451"/>
      <c r="Q390" s="451"/>
      <c r="R390" s="451"/>
      <c r="S390" s="451"/>
      <c r="T390" s="452"/>
      <c r="U390" s="451"/>
    </row>
    <row r="391" spans="1:21" s="232" customFormat="1" ht="15.75" x14ac:dyDescent="0.2">
      <c r="A391" s="468" t="e">
        <f>IF(A388="","",VLOOKUP(A388,liste!$A$9:$G$145,3,FALSE))</f>
        <v>#N/A</v>
      </c>
      <c r="B391" s="438"/>
      <c r="C391" s="438"/>
      <c r="D391" s="455"/>
      <c r="E391" s="455"/>
      <c r="F391" s="455"/>
      <c r="G391" s="455"/>
      <c r="H391" s="455"/>
      <c r="I391" s="455"/>
      <c r="J391" s="455"/>
      <c r="K391" s="425"/>
      <c r="L391" s="468" t="e">
        <f>IF(L388="","",VLOOKUP(L388,liste!$A$9:$G$145,3,FALSE))</f>
        <v>#N/A</v>
      </c>
      <c r="M391" s="438"/>
      <c r="N391" s="438"/>
      <c r="O391" s="454"/>
      <c r="P391" s="454"/>
      <c r="Q391" s="454"/>
      <c r="R391" s="454"/>
      <c r="S391" s="454"/>
      <c r="T391" s="456"/>
      <c r="U391" s="454"/>
    </row>
    <row r="392" spans="1:21" s="232" customFormat="1" ht="12.75" x14ac:dyDescent="0.2">
      <c r="A392" s="425"/>
      <c r="B392" s="230" t="s">
        <v>9</v>
      </c>
      <c r="C392" s="231"/>
      <c r="D392" s="458"/>
      <c r="E392" s="458"/>
      <c r="F392" s="458"/>
      <c r="G392" s="458"/>
      <c r="H392" s="458"/>
      <c r="I392" s="458"/>
      <c r="J392" s="458"/>
      <c r="K392" s="425"/>
      <c r="L392" s="425"/>
      <c r="M392" s="230" t="s">
        <v>9</v>
      </c>
      <c r="N392" s="231"/>
      <c r="O392" s="457"/>
      <c r="P392" s="457"/>
      <c r="Q392" s="457"/>
      <c r="R392" s="457"/>
      <c r="S392" s="457"/>
      <c r="T392" s="459"/>
      <c r="U392" s="457"/>
    </row>
    <row r="393" spans="1:21" s="232" customFormat="1" ht="18.75" x14ac:dyDescent="0.2">
      <c r="A393" s="498">
        <f>Tableau!K37</f>
        <v>0</v>
      </c>
      <c r="B393" s="469"/>
      <c r="C393" s="231"/>
      <c r="D393" s="448"/>
      <c r="E393" s="448"/>
      <c r="F393" s="448"/>
      <c r="G393" s="448"/>
      <c r="H393" s="448"/>
      <c r="I393" s="448"/>
      <c r="J393" s="448"/>
      <c r="K393" s="425"/>
      <c r="L393" s="498">
        <f>Tableau!K47</f>
        <v>0</v>
      </c>
      <c r="M393" s="231"/>
      <c r="N393" s="231"/>
      <c r="O393" s="448"/>
      <c r="P393" s="448"/>
      <c r="Q393" s="448"/>
      <c r="R393" s="448"/>
      <c r="S393" s="448"/>
      <c r="T393" s="449"/>
      <c r="U393" s="448"/>
    </row>
    <row r="394" spans="1:21" s="232" customFormat="1" ht="20.100000000000001" customHeight="1" x14ac:dyDescent="0.2">
      <c r="A394" s="990" t="e">
        <f>IF(A393="","",VLOOKUP(A393,liste!$A$9:$G$145,2,FALSE))</f>
        <v>#N/A</v>
      </c>
      <c r="B394" s="991" t="e">
        <v>#N/A</v>
      </c>
      <c r="C394" s="991" t="e">
        <v>#N/A</v>
      </c>
      <c r="D394" s="447"/>
      <c r="E394" s="447"/>
      <c r="F394" s="447"/>
      <c r="G394" s="447"/>
      <c r="H394" s="447"/>
      <c r="I394" s="447"/>
      <c r="J394" s="447"/>
      <c r="K394" s="425"/>
      <c r="L394" s="990" t="e">
        <f>IF(L393="","",VLOOKUP(L393,liste!$A$9:$G$145,2,FALSE))</f>
        <v>#N/A</v>
      </c>
      <c r="M394" s="991" t="e">
        <v>#N/A</v>
      </c>
      <c r="N394" s="991" t="e">
        <v>#N/A</v>
      </c>
      <c r="O394" s="447"/>
      <c r="P394" s="447"/>
      <c r="Q394" s="447"/>
      <c r="R394" s="447"/>
      <c r="S394" s="447"/>
      <c r="T394" s="428"/>
      <c r="U394" s="447"/>
    </row>
    <row r="395" spans="1:21" s="232" customFormat="1" ht="20.100000000000001" customHeight="1" x14ac:dyDescent="0.2">
      <c r="A395" s="440"/>
      <c r="B395" s="438"/>
      <c r="C395" s="450" t="e">
        <f>IF(A393="","",VLOOKUP(A393,liste!$A$9:$G$145,4,FALSE))</f>
        <v>#N/A</v>
      </c>
      <c r="D395" s="451"/>
      <c r="E395" s="451"/>
      <c r="F395" s="451"/>
      <c r="G395" s="451"/>
      <c r="H395" s="451"/>
      <c r="I395" s="451"/>
      <c r="J395" s="451"/>
      <c r="K395" s="425"/>
      <c r="L395" s="440"/>
      <c r="M395" s="438"/>
      <c r="N395" s="450" t="e">
        <f>IF(L393="","",VLOOKUP(L393,liste!$A$9:$G$145,4,FALSE))</f>
        <v>#N/A</v>
      </c>
      <c r="O395" s="451"/>
      <c r="P395" s="451"/>
      <c r="Q395" s="451"/>
      <c r="R395" s="451"/>
      <c r="S395" s="451"/>
      <c r="T395" s="452"/>
      <c r="U395" s="451"/>
    </row>
    <row r="396" spans="1:21" s="232" customFormat="1" ht="15.75" x14ac:dyDescent="0.2">
      <c r="A396" s="473" t="e">
        <f>IF(A393="","",VLOOKUP(A393,liste!$A$9:$G$145,3,FALSE))</f>
        <v>#N/A</v>
      </c>
      <c r="B396" s="438"/>
      <c r="C396" s="438"/>
      <c r="D396" s="455"/>
      <c r="E396" s="455"/>
      <c r="F396" s="455"/>
      <c r="G396" s="455"/>
      <c r="H396" s="455"/>
      <c r="I396" s="455"/>
      <c r="J396" s="455"/>
      <c r="K396" s="425"/>
      <c r="L396" s="468" t="e">
        <f>IF(L393="","",VLOOKUP(L393,liste!$A$9:$G$145,3,FALSE))</f>
        <v>#N/A</v>
      </c>
      <c r="M396" s="438"/>
      <c r="N396" s="438"/>
      <c r="O396" s="454"/>
      <c r="P396" s="454"/>
      <c r="Q396" s="454"/>
      <c r="R396" s="454"/>
      <c r="S396" s="454"/>
      <c r="T396" s="456"/>
      <c r="U396" s="454"/>
    </row>
    <row r="397" spans="1:21" s="232" customFormat="1" ht="12.75" x14ac:dyDescent="0.2">
      <c r="A397" s="425"/>
      <c r="B397" s="231"/>
      <c r="C397" s="231"/>
      <c r="D397" s="458"/>
      <c r="E397" s="458"/>
      <c r="F397" s="458"/>
      <c r="G397" s="458"/>
      <c r="H397" s="458"/>
      <c r="I397" s="458"/>
      <c r="J397" s="458"/>
      <c r="K397" s="425"/>
      <c r="L397" s="425"/>
      <c r="M397" s="231"/>
      <c r="N397" s="231"/>
      <c r="O397" s="457"/>
      <c r="P397" s="457"/>
      <c r="Q397" s="457"/>
      <c r="R397" s="457"/>
      <c r="S397" s="457"/>
      <c r="T397" s="459"/>
      <c r="U397" s="457"/>
    </row>
    <row r="398" spans="1:21" s="232" customFormat="1" ht="12.75" x14ac:dyDescent="0.2">
      <c r="A398" s="425"/>
      <c r="B398" s="231"/>
      <c r="C398" s="231"/>
      <c r="D398" s="231"/>
      <c r="E398" s="231"/>
      <c r="F398" s="231"/>
      <c r="G398" s="231"/>
      <c r="H398" s="231"/>
      <c r="I398" s="231"/>
      <c r="J398" s="428"/>
      <c r="K398" s="425"/>
      <c r="L398" s="425"/>
      <c r="M398" s="231"/>
      <c r="N398" s="231"/>
      <c r="O398" s="231"/>
      <c r="P398" s="231"/>
      <c r="Q398" s="231"/>
      <c r="R398" s="231"/>
      <c r="S398" s="231"/>
      <c r="T398" s="231"/>
      <c r="U398" s="428"/>
    </row>
    <row r="399" spans="1:21" s="232" customFormat="1" ht="20.100000000000001" customHeight="1" x14ac:dyDescent="0.2">
      <c r="A399" s="988" t="s">
        <v>90</v>
      </c>
      <c r="B399" s="989"/>
      <c r="C399" s="989"/>
      <c r="D399" s="461" t="s">
        <v>77</v>
      </c>
      <c r="E399" s="461" t="s">
        <v>87</v>
      </c>
      <c r="F399" s="461" t="s">
        <v>88</v>
      </c>
      <c r="G399" s="231"/>
      <c r="H399" s="231"/>
      <c r="I399" s="231"/>
      <c r="J399" s="428"/>
      <c r="K399" s="425"/>
      <c r="L399" s="988" t="s">
        <v>90</v>
      </c>
      <c r="M399" s="989"/>
      <c r="N399" s="989"/>
      <c r="O399" s="461" t="s">
        <v>77</v>
      </c>
      <c r="P399" s="461" t="s">
        <v>87</v>
      </c>
      <c r="Q399" s="461" t="s">
        <v>88</v>
      </c>
      <c r="R399" s="231"/>
      <c r="S399" s="231"/>
      <c r="T399" s="231"/>
      <c r="U399" s="428"/>
    </row>
    <row r="400" spans="1:21" s="232" customFormat="1" ht="20.100000000000001" customHeight="1" x14ac:dyDescent="0.2">
      <c r="A400" s="462" t="e">
        <f>A389</f>
        <v>#N/A</v>
      </c>
      <c r="B400" s="426"/>
      <c r="C400" s="449"/>
      <c r="D400" s="448"/>
      <c r="E400" s="448"/>
      <c r="F400" s="448"/>
      <c r="G400" s="231"/>
      <c r="H400" s="231"/>
      <c r="I400" s="231"/>
      <c r="J400" s="428"/>
      <c r="K400" s="425"/>
      <c r="L400" s="462" t="e">
        <f>L389</f>
        <v>#N/A</v>
      </c>
      <c r="M400" s="426"/>
      <c r="N400" s="449"/>
      <c r="O400" s="448"/>
      <c r="P400" s="448"/>
      <c r="Q400" s="448"/>
      <c r="R400" s="231"/>
      <c r="S400" s="231"/>
      <c r="T400" s="231"/>
      <c r="U400" s="428"/>
    </row>
    <row r="401" spans="1:21" s="232" customFormat="1" ht="20.100000000000001" customHeight="1" x14ac:dyDescent="0.2">
      <c r="A401" s="463"/>
      <c r="B401" s="233"/>
      <c r="C401" s="452"/>
      <c r="D401" s="451"/>
      <c r="E401" s="451"/>
      <c r="F401" s="451"/>
      <c r="G401" s="231"/>
      <c r="H401" s="231"/>
      <c r="I401" s="231"/>
      <c r="J401" s="428"/>
      <c r="K401" s="425"/>
      <c r="L401" s="463"/>
      <c r="M401" s="233"/>
      <c r="N401" s="452"/>
      <c r="O401" s="451"/>
      <c r="P401" s="451"/>
      <c r="Q401" s="451"/>
      <c r="R401" s="231"/>
      <c r="S401" s="231"/>
      <c r="T401" s="231"/>
      <c r="U401" s="428"/>
    </row>
    <row r="402" spans="1:21" s="232" customFormat="1" ht="20.100000000000001" customHeight="1" x14ac:dyDescent="0.2">
      <c r="A402" s="462" t="e">
        <f>A394</f>
        <v>#N/A</v>
      </c>
      <c r="B402" s="426"/>
      <c r="C402" s="449"/>
      <c r="D402" s="448"/>
      <c r="E402" s="448"/>
      <c r="F402" s="448"/>
      <c r="G402" s="231"/>
      <c r="H402" s="231"/>
      <c r="I402" s="231"/>
      <c r="J402" s="428"/>
      <c r="K402" s="425"/>
      <c r="L402" s="462" t="e">
        <f>L394</f>
        <v>#N/A</v>
      </c>
      <c r="M402" s="426"/>
      <c r="N402" s="449"/>
      <c r="O402" s="448"/>
      <c r="P402" s="448"/>
      <c r="Q402" s="448"/>
      <c r="R402" s="231"/>
      <c r="S402" s="231"/>
      <c r="T402" s="231"/>
      <c r="U402" s="428"/>
    </row>
    <row r="403" spans="1:21" s="232" customFormat="1" ht="20.100000000000001" customHeight="1" x14ac:dyDescent="0.2">
      <c r="A403" s="463"/>
      <c r="B403" s="233"/>
      <c r="C403" s="452"/>
      <c r="D403" s="451"/>
      <c r="E403" s="451"/>
      <c r="F403" s="451"/>
      <c r="G403" s="231"/>
      <c r="H403" s="231"/>
      <c r="I403" s="231"/>
      <c r="J403" s="428"/>
      <c r="K403" s="425"/>
      <c r="L403" s="463"/>
      <c r="M403" s="233"/>
      <c r="N403" s="452"/>
      <c r="O403" s="451"/>
      <c r="P403" s="451"/>
      <c r="Q403" s="451"/>
      <c r="R403" s="231"/>
      <c r="S403" s="231"/>
      <c r="T403" s="231"/>
      <c r="U403" s="428"/>
    </row>
    <row r="404" spans="1:21" s="232" customFormat="1" ht="12.75" x14ac:dyDescent="0.2">
      <c r="A404" s="464" t="s">
        <v>91</v>
      </c>
      <c r="B404" s="231"/>
      <c r="C404" s="231"/>
      <c r="D404" s="231"/>
      <c r="E404" s="231"/>
      <c r="F404" s="231"/>
      <c r="G404" s="231"/>
      <c r="H404" s="231"/>
      <c r="I404" s="231"/>
      <c r="J404" s="428"/>
      <c r="K404" s="425"/>
      <c r="L404" s="464" t="s">
        <v>91</v>
      </c>
      <c r="M404" s="231"/>
      <c r="N404" s="231"/>
      <c r="O404" s="231"/>
      <c r="P404" s="231"/>
      <c r="Q404" s="231"/>
      <c r="R404" s="231"/>
      <c r="S404" s="231"/>
      <c r="T404" s="231"/>
      <c r="U404" s="428"/>
    </row>
    <row r="405" spans="1:21" s="232" customFormat="1" ht="12.75" x14ac:dyDescent="0.2">
      <c r="A405" s="425"/>
      <c r="B405" s="231"/>
      <c r="C405" s="231"/>
      <c r="D405" s="231"/>
      <c r="E405" s="231"/>
      <c r="F405" s="231"/>
      <c r="G405" s="231"/>
      <c r="H405" s="231"/>
      <c r="I405" s="231"/>
      <c r="J405" s="428"/>
      <c r="K405" s="425"/>
      <c r="L405" s="425"/>
      <c r="M405" s="231"/>
      <c r="N405" s="231"/>
      <c r="O405" s="231"/>
      <c r="P405" s="231"/>
      <c r="Q405" s="231"/>
      <c r="R405" s="231"/>
      <c r="S405" s="231"/>
      <c r="T405" s="231"/>
      <c r="U405" s="428"/>
    </row>
    <row r="406" spans="1:21" s="232" customFormat="1" ht="12.75" x14ac:dyDescent="0.2">
      <c r="A406" s="465" t="s">
        <v>89</v>
      </c>
      <c r="B406" s="233"/>
      <c r="C406" s="233"/>
      <c r="D406" s="233"/>
      <c r="E406" s="233"/>
      <c r="F406" s="233"/>
      <c r="G406" s="233"/>
      <c r="H406" s="233"/>
      <c r="I406" s="233"/>
      <c r="J406" s="452"/>
      <c r="K406" s="425"/>
      <c r="L406" s="465" t="s">
        <v>89</v>
      </c>
      <c r="M406" s="233"/>
      <c r="N406" s="233"/>
      <c r="O406" s="233"/>
      <c r="P406" s="233"/>
      <c r="Q406" s="233"/>
      <c r="R406" s="233"/>
      <c r="S406" s="233"/>
      <c r="T406" s="233"/>
      <c r="U406" s="452"/>
    </row>
    <row r="407" spans="1:21" s="232" customFormat="1" ht="15.75" customHeight="1" x14ac:dyDescent="0.2">
      <c r="A407" s="1005" t="str">
        <f>$A$1</f>
        <v>Circuit décathlon</v>
      </c>
      <c r="B407" s="1006"/>
      <c r="C407" s="1006"/>
      <c r="D407" s="1006"/>
      <c r="E407" s="1006"/>
      <c r="F407" s="1006"/>
      <c r="G407" s="1006"/>
      <c r="H407" s="1006"/>
      <c r="I407" s="1006"/>
      <c r="J407" s="1007"/>
      <c r="K407" s="425"/>
      <c r="L407" s="1005" t="str">
        <f>$A$1</f>
        <v>Circuit décathlon</v>
      </c>
      <c r="M407" s="1006"/>
      <c r="N407" s="1006"/>
      <c r="O407" s="1006"/>
      <c r="P407" s="1006"/>
      <c r="Q407" s="1006"/>
      <c r="R407" s="1006"/>
      <c r="S407" s="1006"/>
      <c r="T407" s="426"/>
      <c r="U407" s="449"/>
    </row>
    <row r="408" spans="1:21" s="232" customFormat="1" ht="15.75" x14ac:dyDescent="0.2">
      <c r="A408" s="425"/>
      <c r="B408" s="231"/>
      <c r="C408" s="231"/>
      <c r="D408" s="427" t="s">
        <v>83</v>
      </c>
      <c r="E408" s="474">
        <f>Rens!F34</f>
        <v>0</v>
      </c>
      <c r="F408" s="231"/>
      <c r="G408" s="231"/>
      <c r="H408" s="231"/>
      <c r="I408" s="231"/>
      <c r="J408" s="428"/>
      <c r="K408" s="425"/>
      <c r="L408" s="425"/>
      <c r="M408" s="231"/>
      <c r="N408" s="231"/>
      <c r="O408" s="427" t="s">
        <v>83</v>
      </c>
      <c r="P408" s="474">
        <f>Rens!F35</f>
        <v>0</v>
      </c>
      <c r="Q408" s="231"/>
      <c r="R408" s="231"/>
      <c r="S408" s="231"/>
      <c r="T408" s="231"/>
      <c r="U408" s="428"/>
    </row>
    <row r="409" spans="1:21" s="232" customFormat="1" ht="18.75" x14ac:dyDescent="0.2">
      <c r="A409" s="429" t="s">
        <v>84</v>
      </c>
      <c r="B409" s="430" t="str">
        <f>$B$3</f>
        <v>Minimes</v>
      </c>
      <c r="C409" s="231"/>
      <c r="D409" s="231"/>
      <c r="E409" s="231"/>
      <c r="F409" s="231"/>
      <c r="G409" s="231"/>
      <c r="H409" s="231"/>
      <c r="I409" s="231"/>
      <c r="J409" s="428"/>
      <c r="K409" s="425"/>
      <c r="L409" s="429" t="s">
        <v>84</v>
      </c>
      <c r="M409" s="430" t="str">
        <f>$B$3</f>
        <v>Minimes</v>
      </c>
      <c r="N409" s="231"/>
      <c r="O409" s="231"/>
      <c r="P409" s="231"/>
      <c r="Q409" s="231"/>
      <c r="R409" s="231"/>
      <c r="S409" s="231"/>
      <c r="T409" s="231"/>
      <c r="U409" s="428"/>
    </row>
    <row r="410" spans="1:21" s="232" customFormat="1" ht="18.75" x14ac:dyDescent="0.2">
      <c r="A410" s="997" t="s">
        <v>198</v>
      </c>
      <c r="B410" s="998"/>
      <c r="C410" s="998"/>
      <c r="D410" s="998"/>
      <c r="E410" s="231"/>
      <c r="F410" s="231"/>
      <c r="G410" s="499" t="str">
        <f>Rens!E34</f>
        <v>battu O/P</v>
      </c>
      <c r="H410" s="231"/>
      <c r="I410" s="231"/>
      <c r="J410" s="428"/>
      <c r="K410" s="425"/>
      <c r="L410" s="997" t="str">
        <f>A410</f>
        <v>Places 25 à 32</v>
      </c>
      <c r="M410" s="998"/>
      <c r="N410" s="998"/>
      <c r="O410" s="998"/>
      <c r="P410" s="231"/>
      <c r="Q410" s="231"/>
      <c r="R410" s="499" t="str">
        <f>Rens!E35</f>
        <v>battu Q/R</v>
      </c>
      <c r="S410" s="231"/>
      <c r="T410" s="499"/>
      <c r="U410" s="428"/>
    </row>
    <row r="411" spans="1:21" s="343" customFormat="1" ht="23.25" x14ac:dyDescent="0.2">
      <c r="A411" s="432"/>
      <c r="B411" s="434" t="str">
        <f>Tableau!AB28</f>
        <v/>
      </c>
      <c r="C411" s="345"/>
      <c r="D411" s="345"/>
      <c r="E411" s="344" t="s">
        <v>178</v>
      </c>
      <c r="F411" s="234">
        <f>Rens!G34</f>
        <v>0</v>
      </c>
      <c r="G411" s="345"/>
      <c r="H411" s="345"/>
      <c r="I411" s="345"/>
      <c r="J411" s="431"/>
      <c r="K411" s="432"/>
      <c r="L411" s="432"/>
      <c r="M411" s="434" t="str">
        <f>Tableau!AB20</f>
        <v/>
      </c>
      <c r="N411" s="345"/>
      <c r="O411" s="345"/>
      <c r="P411" s="344" t="s">
        <v>178</v>
      </c>
      <c r="Q411" s="234">
        <f>Rens!G35</f>
        <v>0</v>
      </c>
      <c r="R411" s="345"/>
      <c r="S411" s="345"/>
      <c r="T411" s="345"/>
      <c r="U411" s="431"/>
    </row>
    <row r="412" spans="1:21" s="232" customFormat="1" ht="15.75" x14ac:dyDescent="0.2">
      <c r="A412" s="470" t="s">
        <v>85</v>
      </c>
      <c r="B412" s="436" t="str">
        <f>IF(B411="","",VLOOKUP(B411,liste!$A$9:$G$145,2,FALSE))</f>
        <v/>
      </c>
      <c r="C412" s="471"/>
      <c r="D412" s="471"/>
      <c r="E412" s="471"/>
      <c r="F412" s="471"/>
      <c r="G412" s="471"/>
      <c r="H412" s="471"/>
      <c r="I412" s="231"/>
      <c r="J412" s="428"/>
      <c r="K412" s="425"/>
      <c r="L412" s="470" t="s">
        <v>85</v>
      </c>
      <c r="M412" s="436" t="str">
        <f>IF(M411="","",VLOOKUP(M411,liste!$A$9:$G$145,2,FALSE))</f>
        <v/>
      </c>
      <c r="N412" s="471"/>
      <c r="O412" s="471"/>
      <c r="P412" s="471"/>
      <c r="Q412" s="471"/>
      <c r="R412" s="471"/>
      <c r="S412" s="471"/>
      <c r="T412" s="471"/>
      <c r="U412" s="472"/>
    </row>
    <row r="413" spans="1:21" s="232" customFormat="1" ht="20.100000000000001" customHeight="1" x14ac:dyDescent="0.2">
      <c r="A413" s="425"/>
      <c r="B413" s="231"/>
      <c r="C413" s="231"/>
      <c r="D413" s="999" t="s">
        <v>19</v>
      </c>
      <c r="E413" s="1000"/>
      <c r="F413" s="1000"/>
      <c r="G413" s="1000"/>
      <c r="H413" s="1000"/>
      <c r="I413" s="1000"/>
      <c r="J413" s="1001"/>
      <c r="K413" s="425"/>
      <c r="L413" s="443"/>
      <c r="M413" s="444"/>
      <c r="N413" s="444"/>
      <c r="O413" s="1002" t="s">
        <v>19</v>
      </c>
      <c r="P413" s="1003"/>
      <c r="Q413" s="1003"/>
      <c r="R413" s="1003"/>
      <c r="S413" s="1003"/>
      <c r="T413" s="1003"/>
      <c r="U413" s="1004"/>
    </row>
    <row r="414" spans="1:21" s="232" customFormat="1" ht="20.100000000000001" customHeight="1" x14ac:dyDescent="0.2">
      <c r="A414" s="992" t="s">
        <v>86</v>
      </c>
      <c r="B414" s="993"/>
      <c r="C414" s="993"/>
      <c r="D414" s="467">
        <v>1</v>
      </c>
      <c r="E414" s="467">
        <v>2</v>
      </c>
      <c r="F414" s="467">
        <v>3</v>
      </c>
      <c r="G414" s="467">
        <v>4</v>
      </c>
      <c r="H414" s="467">
        <v>5</v>
      </c>
      <c r="I414" s="467">
        <v>6</v>
      </c>
      <c r="J414" s="467">
        <v>7</v>
      </c>
      <c r="K414" s="425"/>
      <c r="L414" s="992" t="s">
        <v>86</v>
      </c>
      <c r="M414" s="993"/>
      <c r="N414" s="993"/>
      <c r="O414" s="445">
        <v>1</v>
      </c>
      <c r="P414" s="445">
        <v>2</v>
      </c>
      <c r="Q414" s="445">
        <v>3</v>
      </c>
      <c r="R414" s="445">
        <v>4</v>
      </c>
      <c r="S414" s="446">
        <v>5</v>
      </c>
      <c r="T414" s="497">
        <v>6</v>
      </c>
      <c r="U414" s="446">
        <v>7</v>
      </c>
    </row>
    <row r="415" spans="1:21" s="232" customFormat="1" ht="20.100000000000001" customHeight="1" x14ac:dyDescent="0.2">
      <c r="A415" s="500"/>
      <c r="B415" s="501"/>
      <c r="C415" s="501"/>
      <c r="D415" s="994" t="s">
        <v>92</v>
      </c>
      <c r="E415" s="995"/>
      <c r="F415" s="995"/>
      <c r="G415" s="995"/>
      <c r="H415" s="995"/>
      <c r="I415" s="995"/>
      <c r="J415" s="996"/>
      <c r="K415" s="425"/>
      <c r="L415" s="500"/>
      <c r="M415" s="501"/>
      <c r="N415" s="501"/>
      <c r="O415" s="994" t="s">
        <v>92</v>
      </c>
      <c r="P415" s="995"/>
      <c r="Q415" s="995"/>
      <c r="R415" s="995"/>
      <c r="S415" s="995"/>
      <c r="T415" s="995"/>
      <c r="U415" s="996"/>
    </row>
    <row r="416" spans="1:21" s="232" customFormat="1" ht="18.75" x14ac:dyDescent="0.2">
      <c r="A416" s="498" t="str">
        <f>Tableau!L76</f>
        <v/>
      </c>
      <c r="B416" s="231"/>
      <c r="C416" s="231"/>
      <c r="D416" s="447"/>
      <c r="E416" s="447"/>
      <c r="F416" s="447"/>
      <c r="G416" s="447"/>
      <c r="H416" s="447"/>
      <c r="I416" s="447"/>
      <c r="J416" s="447"/>
      <c r="K416" s="425"/>
      <c r="L416" s="498" t="str">
        <f>Tableau!L80</f>
        <v/>
      </c>
      <c r="M416" s="231"/>
      <c r="N416" s="231"/>
      <c r="O416" s="448"/>
      <c r="P416" s="448"/>
      <c r="Q416" s="448"/>
      <c r="R416" s="448"/>
      <c r="S416" s="448"/>
      <c r="T416" s="449"/>
      <c r="U416" s="448"/>
    </row>
    <row r="417" spans="1:21" s="232" customFormat="1" ht="20.100000000000001" customHeight="1" x14ac:dyDescent="0.2">
      <c r="A417" s="990" t="str">
        <f>IF(A416="","",VLOOKUP(A416,liste!$A$9:$G$145,2,FALSE))</f>
        <v/>
      </c>
      <c r="B417" s="991" t="s">
        <v>288</v>
      </c>
      <c r="C417" s="991" t="s">
        <v>288</v>
      </c>
      <c r="D417" s="447"/>
      <c r="E417" s="447"/>
      <c r="F417" s="447"/>
      <c r="G417" s="447"/>
      <c r="H417" s="447"/>
      <c r="I417" s="447"/>
      <c r="J417" s="447"/>
      <c r="K417" s="425"/>
      <c r="L417" s="990" t="str">
        <f>IF(L416="","",VLOOKUP(L416,liste!$A$9:$G$145,2,FALSE))</f>
        <v/>
      </c>
      <c r="M417" s="991" t="s">
        <v>288</v>
      </c>
      <c r="N417" s="991" t="s">
        <v>288</v>
      </c>
      <c r="O417" s="447"/>
      <c r="P417" s="447"/>
      <c r="Q417" s="447"/>
      <c r="R417" s="447"/>
      <c r="S417" s="447"/>
      <c r="T417" s="428"/>
      <c r="U417" s="447"/>
    </row>
    <row r="418" spans="1:21" s="232" customFormat="1" ht="20.100000000000001" customHeight="1" x14ac:dyDescent="0.2">
      <c r="A418" s="440"/>
      <c r="B418" s="438"/>
      <c r="C418" s="450" t="str">
        <f>IF(A416="","",VLOOKUP(A416,liste!$A$9:$G$145,4,FALSE))</f>
        <v/>
      </c>
      <c r="D418" s="451"/>
      <c r="E418" s="451"/>
      <c r="F418" s="451"/>
      <c r="G418" s="451"/>
      <c r="H418" s="451"/>
      <c r="I418" s="451"/>
      <c r="J418" s="451"/>
      <c r="K418" s="425"/>
      <c r="L418" s="440"/>
      <c r="M418" s="438"/>
      <c r="N418" s="450" t="str">
        <f>IF(L416="","",VLOOKUP(L416,liste!$A$9:$G$145,4,FALSE))</f>
        <v/>
      </c>
      <c r="O418" s="451"/>
      <c r="P418" s="451"/>
      <c r="Q418" s="451"/>
      <c r="R418" s="451"/>
      <c r="S418" s="451"/>
      <c r="T418" s="452"/>
      <c r="U418" s="451"/>
    </row>
    <row r="419" spans="1:21" s="232" customFormat="1" ht="15.75" x14ac:dyDescent="0.2">
      <c r="A419" s="453" t="str">
        <f>IF(A416="","",VLOOKUP(A416,liste!$A$9:$G$145,3,FALSE))</f>
        <v/>
      </c>
      <c r="B419" s="438"/>
      <c r="C419" s="438"/>
      <c r="D419" s="455"/>
      <c r="E419" s="455"/>
      <c r="F419" s="455"/>
      <c r="G419" s="455"/>
      <c r="H419" s="455"/>
      <c r="I419" s="455"/>
      <c r="J419" s="455"/>
      <c r="K419" s="425"/>
      <c r="L419" s="453" t="str">
        <f>IF(L416="","",VLOOKUP(L416,liste!$A$9:$G$145,3,FALSE))</f>
        <v/>
      </c>
      <c r="M419" s="438"/>
      <c r="N419" s="438"/>
      <c r="O419" s="454"/>
      <c r="P419" s="454"/>
      <c r="Q419" s="454"/>
      <c r="R419" s="454"/>
      <c r="S419" s="454"/>
      <c r="T419" s="456"/>
      <c r="U419" s="454"/>
    </row>
    <row r="420" spans="1:21" s="232" customFormat="1" ht="12.75" x14ac:dyDescent="0.2">
      <c r="A420" s="425"/>
      <c r="B420" s="230" t="s">
        <v>9</v>
      </c>
      <c r="C420" s="231"/>
      <c r="D420" s="458"/>
      <c r="E420" s="458"/>
      <c r="F420" s="458"/>
      <c r="G420" s="458"/>
      <c r="H420" s="458"/>
      <c r="I420" s="458"/>
      <c r="J420" s="458"/>
      <c r="K420" s="425"/>
      <c r="L420" s="425"/>
      <c r="M420" s="230" t="s">
        <v>9</v>
      </c>
      <c r="N420" s="231"/>
      <c r="O420" s="457"/>
      <c r="P420" s="457"/>
      <c r="Q420" s="457"/>
      <c r="R420" s="457"/>
      <c r="S420" s="457"/>
      <c r="T420" s="459"/>
      <c r="U420" s="457"/>
    </row>
    <row r="421" spans="1:21" s="232" customFormat="1" ht="18.75" x14ac:dyDescent="0.2">
      <c r="A421" s="498" t="str">
        <f>Tableau!L78</f>
        <v/>
      </c>
      <c r="B421" s="231"/>
      <c r="C421" s="231"/>
      <c r="D421" s="448"/>
      <c r="E421" s="448"/>
      <c r="F421" s="448"/>
      <c r="G421" s="448"/>
      <c r="H421" s="448"/>
      <c r="I421" s="448"/>
      <c r="J421" s="448"/>
      <c r="K421" s="425"/>
      <c r="L421" s="498" t="str">
        <f>Tableau!L82</f>
        <v/>
      </c>
      <c r="M421" s="231"/>
      <c r="N421" s="231"/>
      <c r="O421" s="448"/>
      <c r="P421" s="448"/>
      <c r="Q421" s="448"/>
      <c r="R421" s="448"/>
      <c r="S421" s="448"/>
      <c r="T421" s="449"/>
      <c r="U421" s="448"/>
    </row>
    <row r="422" spans="1:21" s="232" customFormat="1" ht="20.100000000000001" customHeight="1" x14ac:dyDescent="0.2">
      <c r="A422" s="990" t="str">
        <f>IF(A421="","",VLOOKUP(A421,liste!$A$9:$G$145,2,FALSE))</f>
        <v/>
      </c>
      <c r="B422" s="991" t="s">
        <v>288</v>
      </c>
      <c r="C422" s="991" t="s">
        <v>288</v>
      </c>
      <c r="D422" s="447"/>
      <c r="E422" s="447"/>
      <c r="F422" s="447"/>
      <c r="G422" s="447"/>
      <c r="H422" s="447"/>
      <c r="I422" s="447"/>
      <c r="J422" s="447"/>
      <c r="K422" s="425"/>
      <c r="L422" s="990" t="str">
        <f>IF(L421="","",VLOOKUP(L421,liste!$A$9:$G$145,2,FALSE))</f>
        <v/>
      </c>
      <c r="M422" s="991" t="s">
        <v>288</v>
      </c>
      <c r="N422" s="991" t="s">
        <v>288</v>
      </c>
      <c r="O422" s="447"/>
      <c r="P422" s="447"/>
      <c r="Q422" s="447"/>
      <c r="R422" s="447"/>
      <c r="S422" s="447"/>
      <c r="T422" s="428"/>
      <c r="U422" s="447"/>
    </row>
    <row r="423" spans="1:21" s="232" customFormat="1" ht="20.100000000000001" customHeight="1" x14ac:dyDescent="0.2">
      <c r="A423" s="440"/>
      <c r="B423" s="438"/>
      <c r="C423" s="450" t="str">
        <f>IF(A421="","",VLOOKUP(A421,liste!$A$9:$G$145,4,FALSE))</f>
        <v/>
      </c>
      <c r="D423" s="451"/>
      <c r="E423" s="451"/>
      <c r="F423" s="451"/>
      <c r="G423" s="451"/>
      <c r="H423" s="451"/>
      <c r="I423" s="451"/>
      <c r="J423" s="451"/>
      <c r="K423" s="425"/>
      <c r="L423" s="440"/>
      <c r="M423" s="438"/>
      <c r="N423" s="450" t="str">
        <f>IF(L421="","",VLOOKUP(L421,liste!$A$9:$G$145,4,FALSE))</f>
        <v/>
      </c>
      <c r="O423" s="451"/>
      <c r="P423" s="451"/>
      <c r="Q423" s="451"/>
      <c r="R423" s="451"/>
      <c r="S423" s="451"/>
      <c r="T423" s="452"/>
      <c r="U423" s="451"/>
    </row>
    <row r="424" spans="1:21" s="232" customFormat="1" ht="15.75" x14ac:dyDescent="0.2">
      <c r="A424" s="453" t="str">
        <f>IF(A421="","",VLOOKUP(A421,liste!$A$9:$G$145,3,FALSE))</f>
        <v/>
      </c>
      <c r="B424" s="438"/>
      <c r="C424" s="438"/>
      <c r="D424" s="455"/>
      <c r="E424" s="455"/>
      <c r="F424" s="455"/>
      <c r="G424" s="455"/>
      <c r="H424" s="455"/>
      <c r="I424" s="455"/>
      <c r="J424" s="455"/>
      <c r="K424" s="425"/>
      <c r="L424" s="453" t="str">
        <f>IF(L421="","",VLOOKUP(L421,liste!$A$9:$G$145,3,FALSE))</f>
        <v/>
      </c>
      <c r="M424" s="438"/>
      <c r="N424" s="438"/>
      <c r="O424" s="454"/>
      <c r="P424" s="454"/>
      <c r="Q424" s="454"/>
      <c r="R424" s="454"/>
      <c r="S424" s="454"/>
      <c r="T424" s="456"/>
      <c r="U424" s="454"/>
    </row>
    <row r="425" spans="1:21" s="232" customFormat="1" ht="12.75" x14ac:dyDescent="0.2">
      <c r="A425" s="425"/>
      <c r="B425" s="231"/>
      <c r="C425" s="231"/>
      <c r="D425" s="458"/>
      <c r="E425" s="458"/>
      <c r="F425" s="458"/>
      <c r="G425" s="458"/>
      <c r="H425" s="458"/>
      <c r="I425" s="458"/>
      <c r="J425" s="458"/>
      <c r="K425" s="425"/>
      <c r="L425" s="425"/>
      <c r="M425" s="231"/>
      <c r="N425" s="231"/>
      <c r="O425" s="457"/>
      <c r="P425" s="457"/>
      <c r="Q425" s="457"/>
      <c r="R425" s="457"/>
      <c r="S425" s="457"/>
      <c r="T425" s="459"/>
      <c r="U425" s="457"/>
    </row>
    <row r="426" spans="1:21" s="232" customFormat="1" ht="12.75" x14ac:dyDescent="0.2">
      <c r="A426" s="425"/>
      <c r="B426" s="231"/>
      <c r="C426" s="231"/>
      <c r="D426" s="231"/>
      <c r="E426" s="231"/>
      <c r="F426" s="231"/>
      <c r="G426" s="231"/>
      <c r="H426" s="231"/>
      <c r="I426" s="231"/>
      <c r="J426" s="428"/>
      <c r="K426" s="425"/>
      <c r="L426" s="425"/>
      <c r="M426" s="231"/>
      <c r="N426" s="231"/>
      <c r="O426" s="231"/>
      <c r="P426" s="231"/>
      <c r="Q426" s="231"/>
      <c r="R426" s="231"/>
      <c r="S426" s="231"/>
      <c r="T426" s="231"/>
      <c r="U426" s="428"/>
    </row>
    <row r="427" spans="1:21" s="232" customFormat="1" ht="20.100000000000001" customHeight="1" x14ac:dyDescent="0.2">
      <c r="A427" s="988" t="s">
        <v>90</v>
      </c>
      <c r="B427" s="989"/>
      <c r="C427" s="989"/>
      <c r="D427" s="461" t="s">
        <v>77</v>
      </c>
      <c r="E427" s="461" t="s">
        <v>87</v>
      </c>
      <c r="F427" s="461" t="s">
        <v>88</v>
      </c>
      <c r="G427" s="231"/>
      <c r="H427" s="231"/>
      <c r="I427" s="231"/>
      <c r="J427" s="428"/>
      <c r="K427" s="425"/>
      <c r="L427" s="988" t="s">
        <v>90</v>
      </c>
      <c r="M427" s="989"/>
      <c r="N427" s="989"/>
      <c r="O427" s="461" t="s">
        <v>77</v>
      </c>
      <c r="P427" s="461" t="s">
        <v>87</v>
      </c>
      <c r="Q427" s="461" t="s">
        <v>88</v>
      </c>
      <c r="R427" s="231"/>
      <c r="S427" s="231"/>
      <c r="T427" s="231"/>
      <c r="U427" s="428"/>
    </row>
    <row r="428" spans="1:21" s="232" customFormat="1" ht="20.100000000000001" customHeight="1" x14ac:dyDescent="0.2">
      <c r="A428" s="462" t="str">
        <f>A417</f>
        <v/>
      </c>
      <c r="B428" s="426"/>
      <c r="C428" s="449"/>
      <c r="D428" s="448"/>
      <c r="E428" s="448"/>
      <c r="F428" s="448"/>
      <c r="G428" s="231"/>
      <c r="H428" s="231"/>
      <c r="I428" s="231"/>
      <c r="J428" s="428"/>
      <c r="K428" s="425"/>
      <c r="L428" s="462" t="str">
        <f>L417</f>
        <v/>
      </c>
      <c r="M428" s="426"/>
      <c r="N428" s="449"/>
      <c r="O428" s="448"/>
      <c r="P428" s="448"/>
      <c r="Q428" s="448"/>
      <c r="R428" s="231"/>
      <c r="S428" s="231"/>
      <c r="T428" s="231"/>
      <c r="U428" s="428"/>
    </row>
    <row r="429" spans="1:21" s="232" customFormat="1" ht="20.100000000000001" customHeight="1" x14ac:dyDescent="0.2">
      <c r="A429" s="463"/>
      <c r="B429" s="233"/>
      <c r="C429" s="452"/>
      <c r="D429" s="451"/>
      <c r="E429" s="451"/>
      <c r="F429" s="451"/>
      <c r="G429" s="231"/>
      <c r="H429" s="231"/>
      <c r="I429" s="231"/>
      <c r="J429" s="428"/>
      <c r="K429" s="425"/>
      <c r="L429" s="463"/>
      <c r="M429" s="233"/>
      <c r="N429" s="452"/>
      <c r="O429" s="451"/>
      <c r="P429" s="451"/>
      <c r="Q429" s="451"/>
      <c r="R429" s="231"/>
      <c r="S429" s="231"/>
      <c r="T429" s="231"/>
      <c r="U429" s="428"/>
    </row>
    <row r="430" spans="1:21" s="232" customFormat="1" ht="20.100000000000001" customHeight="1" x14ac:dyDescent="0.2">
      <c r="A430" s="462" t="str">
        <f>A422</f>
        <v/>
      </c>
      <c r="B430" s="426"/>
      <c r="C430" s="449"/>
      <c r="D430" s="448"/>
      <c r="E430" s="448"/>
      <c r="F430" s="448"/>
      <c r="G430" s="231"/>
      <c r="H430" s="231"/>
      <c r="I430" s="231"/>
      <c r="J430" s="428"/>
      <c r="K430" s="425"/>
      <c r="L430" s="462" t="str">
        <f>L422</f>
        <v/>
      </c>
      <c r="M430" s="426"/>
      <c r="N430" s="449"/>
      <c r="O430" s="448"/>
      <c r="P430" s="448"/>
      <c r="Q430" s="448"/>
      <c r="R430" s="231"/>
      <c r="S430" s="231"/>
      <c r="T430" s="231"/>
      <c r="U430" s="428"/>
    </row>
    <row r="431" spans="1:21" s="232" customFormat="1" ht="20.100000000000001" customHeight="1" x14ac:dyDescent="0.2">
      <c r="A431" s="463"/>
      <c r="B431" s="233"/>
      <c r="C431" s="452"/>
      <c r="D431" s="451"/>
      <c r="E431" s="451"/>
      <c r="F431" s="451"/>
      <c r="G431" s="231"/>
      <c r="H431" s="231"/>
      <c r="I431" s="231"/>
      <c r="J431" s="428"/>
      <c r="K431" s="425"/>
      <c r="L431" s="463"/>
      <c r="M431" s="233"/>
      <c r="N431" s="452"/>
      <c r="O431" s="451"/>
      <c r="P431" s="451"/>
      <c r="Q431" s="451"/>
      <c r="R431" s="231"/>
      <c r="S431" s="231"/>
      <c r="T431" s="231"/>
      <c r="U431" s="428"/>
    </row>
    <row r="432" spans="1:21" s="232" customFormat="1" ht="12.75" x14ac:dyDescent="0.2">
      <c r="A432" s="464" t="s">
        <v>91</v>
      </c>
      <c r="B432" s="231"/>
      <c r="C432" s="231"/>
      <c r="D432" s="231"/>
      <c r="E432" s="231"/>
      <c r="F432" s="231"/>
      <c r="G432" s="231"/>
      <c r="H432" s="231"/>
      <c r="I432" s="231"/>
      <c r="J432" s="428"/>
      <c r="K432" s="425"/>
      <c r="L432" s="464" t="s">
        <v>91</v>
      </c>
      <c r="M432" s="231"/>
      <c r="N432" s="231"/>
      <c r="O432" s="231"/>
      <c r="P432" s="231"/>
      <c r="Q432" s="231"/>
      <c r="R432" s="231"/>
      <c r="S432" s="231"/>
      <c r="T432" s="231"/>
      <c r="U432" s="428"/>
    </row>
    <row r="433" spans="1:21" s="232" customFormat="1" ht="12.75" x14ac:dyDescent="0.2">
      <c r="A433" s="425"/>
      <c r="B433" s="231"/>
      <c r="C433" s="231"/>
      <c r="D433" s="231"/>
      <c r="E433" s="231"/>
      <c r="F433" s="231"/>
      <c r="G433" s="231"/>
      <c r="H433" s="231"/>
      <c r="I433" s="231"/>
      <c r="J433" s="428"/>
      <c r="K433" s="425"/>
      <c r="L433" s="425"/>
      <c r="M433" s="231"/>
      <c r="N433" s="231"/>
      <c r="O433" s="231"/>
      <c r="P433" s="231"/>
      <c r="Q433" s="231"/>
      <c r="R433" s="231"/>
      <c r="S433" s="231"/>
      <c r="T433" s="231"/>
      <c r="U433" s="428"/>
    </row>
    <row r="434" spans="1:21" s="232" customFormat="1" ht="12.75" x14ac:dyDescent="0.2">
      <c r="A434" s="465" t="s">
        <v>89</v>
      </c>
      <c r="B434" s="233"/>
      <c r="C434" s="233"/>
      <c r="D434" s="233"/>
      <c r="E434" s="233"/>
      <c r="F434" s="233"/>
      <c r="G434" s="233"/>
      <c r="H434" s="233"/>
      <c r="I434" s="233"/>
      <c r="J434" s="452"/>
      <c r="K434" s="425"/>
      <c r="L434" s="465" t="s">
        <v>89</v>
      </c>
      <c r="M434" s="233"/>
      <c r="N434" s="233"/>
      <c r="O434" s="233"/>
      <c r="P434" s="233"/>
      <c r="Q434" s="233"/>
      <c r="R434" s="233"/>
      <c r="S434" s="233"/>
      <c r="T434" s="233"/>
      <c r="U434" s="452"/>
    </row>
    <row r="435" spans="1:21" s="232" customFormat="1" ht="30" customHeight="1" x14ac:dyDescent="0.2"/>
    <row r="436" spans="1:21" s="232" customFormat="1" ht="30" customHeight="1" x14ac:dyDescent="0.2"/>
    <row r="437" spans="1:21" s="232" customFormat="1" ht="20.100000000000001" customHeight="1" x14ac:dyDescent="0.2">
      <c r="A437" s="1005" t="str">
        <f>$A$1</f>
        <v>Circuit décathlon</v>
      </c>
      <c r="B437" s="1006"/>
      <c r="C437" s="1006"/>
      <c r="D437" s="1006"/>
      <c r="E437" s="1006"/>
      <c r="F437" s="1006"/>
      <c r="G437" s="1006"/>
      <c r="H437" s="1006"/>
      <c r="I437" s="1006"/>
      <c r="J437" s="1007"/>
      <c r="K437" s="425"/>
      <c r="L437" s="1005" t="str">
        <f>$A$1</f>
        <v>Circuit décathlon</v>
      </c>
      <c r="M437" s="1006"/>
      <c r="N437" s="1006"/>
      <c r="O437" s="1006"/>
      <c r="P437" s="1006"/>
      <c r="Q437" s="1006"/>
      <c r="R437" s="1006"/>
      <c r="S437" s="1006"/>
      <c r="T437" s="426"/>
      <c r="U437" s="449"/>
    </row>
    <row r="438" spans="1:21" s="232" customFormat="1" ht="15.75" x14ac:dyDescent="0.2">
      <c r="A438" s="425"/>
      <c r="B438" s="231"/>
      <c r="C438" s="231"/>
      <c r="D438" s="427" t="s">
        <v>83</v>
      </c>
      <c r="E438" s="474">
        <f>Rens!F36</f>
        <v>0</v>
      </c>
      <c r="F438" s="231"/>
      <c r="G438" s="231"/>
      <c r="H438" s="231"/>
      <c r="I438" s="231"/>
      <c r="J438" s="428"/>
      <c r="K438" s="425"/>
      <c r="L438" s="425"/>
      <c r="M438" s="231"/>
      <c r="N438" s="231"/>
      <c r="O438" s="427" t="s">
        <v>83</v>
      </c>
      <c r="P438" s="474">
        <f>Rens!F37</f>
        <v>0</v>
      </c>
      <c r="Q438" s="231"/>
      <c r="R438" s="231"/>
      <c r="S438" s="231"/>
      <c r="T438" s="231"/>
      <c r="U438" s="428"/>
    </row>
    <row r="439" spans="1:21" s="232" customFormat="1" ht="18.75" x14ac:dyDescent="0.2">
      <c r="A439" s="429" t="s">
        <v>84</v>
      </c>
      <c r="B439" s="430" t="str">
        <f>$B$3</f>
        <v>Minimes</v>
      </c>
      <c r="C439" s="231"/>
      <c r="D439" s="231"/>
      <c r="E439" s="231"/>
      <c r="F439" s="231"/>
      <c r="G439" s="231"/>
      <c r="H439" s="231"/>
      <c r="I439" s="231"/>
      <c r="J439" s="428"/>
      <c r="K439" s="425"/>
      <c r="L439" s="429" t="s">
        <v>84</v>
      </c>
      <c r="M439" s="430" t="str">
        <f>$B$3</f>
        <v>Minimes</v>
      </c>
      <c r="N439" s="231"/>
      <c r="O439" s="231"/>
      <c r="P439" s="231"/>
      <c r="Q439" s="231"/>
      <c r="R439" s="231"/>
      <c r="S439" s="231"/>
      <c r="T439" s="231"/>
      <c r="U439" s="428"/>
    </row>
    <row r="440" spans="1:21" s="232" customFormat="1" ht="18.75" x14ac:dyDescent="0.2">
      <c r="A440" s="997" t="str">
        <f>A410</f>
        <v>Places 25 à 32</v>
      </c>
      <c r="B440" s="998"/>
      <c r="C440" s="998"/>
      <c r="D440" s="998"/>
      <c r="E440" s="231"/>
      <c r="F440" s="231"/>
      <c r="G440" s="499" t="str">
        <f>Rens!E36</f>
        <v>battu S/T</v>
      </c>
      <c r="H440" s="231"/>
      <c r="I440" s="231"/>
      <c r="J440" s="428"/>
      <c r="K440" s="425"/>
      <c r="L440" s="997" t="str">
        <f>A410</f>
        <v>Places 25 à 32</v>
      </c>
      <c r="M440" s="998"/>
      <c r="N440" s="998"/>
      <c r="O440" s="998"/>
      <c r="P440" s="231"/>
      <c r="Q440" s="231"/>
      <c r="R440" s="499" t="str">
        <f>Rens!E37</f>
        <v>battu U/V</v>
      </c>
      <c r="S440" s="231"/>
      <c r="T440" s="499"/>
      <c r="U440" s="428"/>
    </row>
    <row r="441" spans="1:21" s="343" customFormat="1" ht="23.25" x14ac:dyDescent="0.2">
      <c r="A441" s="432"/>
      <c r="B441" s="434" t="str">
        <f>Tableau!AB18</f>
        <v/>
      </c>
      <c r="C441" s="345"/>
      <c r="D441" s="345"/>
      <c r="E441" s="344" t="s">
        <v>178</v>
      </c>
      <c r="F441" s="234">
        <f>Rens!G36</f>
        <v>0</v>
      </c>
      <c r="G441" s="345"/>
      <c r="H441" s="345"/>
      <c r="I441" s="345"/>
      <c r="J441" s="431"/>
      <c r="K441" s="432"/>
      <c r="L441" s="432"/>
      <c r="M441" s="434" t="str">
        <f>Tableau!AB10</f>
        <v/>
      </c>
      <c r="N441" s="345"/>
      <c r="O441" s="345"/>
      <c r="P441" s="344" t="s">
        <v>178</v>
      </c>
      <c r="Q441" s="234">
        <f>Rens!G37</f>
        <v>0</v>
      </c>
      <c r="R441" s="345"/>
      <c r="S441" s="345"/>
      <c r="T441" s="345"/>
      <c r="U441" s="431"/>
    </row>
    <row r="442" spans="1:21" s="232" customFormat="1" ht="15.75" x14ac:dyDescent="0.2">
      <c r="A442" s="470" t="s">
        <v>85</v>
      </c>
      <c r="B442" s="436" t="str">
        <f>IF(B441="","",VLOOKUP(B441,liste!$A$9:$G$145,2,FALSE))</f>
        <v/>
      </c>
      <c r="C442" s="471"/>
      <c r="D442" s="471"/>
      <c r="E442" s="471"/>
      <c r="F442" s="471"/>
      <c r="G442" s="471"/>
      <c r="H442" s="471"/>
      <c r="I442" s="231"/>
      <c r="J442" s="428"/>
      <c r="K442" s="425"/>
      <c r="L442" s="470" t="s">
        <v>85</v>
      </c>
      <c r="M442" s="436" t="str">
        <f>IF(M441="","",VLOOKUP(M441,liste!$A$9:$G$145,2,FALSE))</f>
        <v/>
      </c>
      <c r="N442" s="471"/>
      <c r="O442" s="471"/>
      <c r="P442" s="471"/>
      <c r="Q442" s="471"/>
      <c r="R442" s="471"/>
      <c r="S442" s="471"/>
      <c r="T442" s="471"/>
      <c r="U442" s="472"/>
    </row>
    <row r="443" spans="1:21" s="232" customFormat="1" ht="20.100000000000001" customHeight="1" x14ac:dyDescent="0.2">
      <c r="A443" s="425"/>
      <c r="D443" s="999" t="s">
        <v>19</v>
      </c>
      <c r="E443" s="1000"/>
      <c r="F443" s="1000"/>
      <c r="G443" s="1000"/>
      <c r="H443" s="1000"/>
      <c r="I443" s="1000"/>
      <c r="J443" s="1001"/>
      <c r="K443" s="425"/>
      <c r="L443" s="443"/>
      <c r="M443" s="444"/>
      <c r="N443" s="444"/>
      <c r="O443" s="1002" t="s">
        <v>19</v>
      </c>
      <c r="P443" s="1003"/>
      <c r="Q443" s="1003"/>
      <c r="R443" s="1003"/>
      <c r="S443" s="1003"/>
      <c r="T443" s="1003"/>
      <c r="U443" s="1004"/>
    </row>
    <row r="444" spans="1:21" s="232" customFormat="1" ht="20.100000000000001" customHeight="1" x14ac:dyDescent="0.2">
      <c r="A444" s="992" t="s">
        <v>86</v>
      </c>
      <c r="B444" s="993"/>
      <c r="C444" s="993"/>
      <c r="D444" s="467">
        <v>1</v>
      </c>
      <c r="E444" s="467">
        <v>2</v>
      </c>
      <c r="F444" s="467">
        <v>3</v>
      </c>
      <c r="G444" s="467">
        <v>4</v>
      </c>
      <c r="H444" s="467">
        <v>5</v>
      </c>
      <c r="I444" s="467">
        <v>6</v>
      </c>
      <c r="J444" s="467">
        <v>7</v>
      </c>
      <c r="K444" s="425"/>
      <c r="L444" s="992" t="s">
        <v>86</v>
      </c>
      <c r="M444" s="993"/>
      <c r="N444" s="993"/>
      <c r="O444" s="445">
        <v>1</v>
      </c>
      <c r="P444" s="445">
        <v>2</v>
      </c>
      <c r="Q444" s="445">
        <v>3</v>
      </c>
      <c r="R444" s="445">
        <v>4</v>
      </c>
      <c r="S444" s="446">
        <v>5</v>
      </c>
      <c r="T444" s="497">
        <v>6</v>
      </c>
      <c r="U444" s="446">
        <v>7</v>
      </c>
    </row>
    <row r="445" spans="1:21" s="232" customFormat="1" ht="20.100000000000001" customHeight="1" x14ac:dyDescent="0.2">
      <c r="A445" s="500"/>
      <c r="B445" s="501"/>
      <c r="C445" s="501"/>
      <c r="D445" s="994" t="s">
        <v>92</v>
      </c>
      <c r="E445" s="995"/>
      <c r="F445" s="995"/>
      <c r="G445" s="995"/>
      <c r="H445" s="995"/>
      <c r="I445" s="995"/>
      <c r="J445" s="996"/>
      <c r="K445" s="425"/>
      <c r="L445" s="500"/>
      <c r="M445" s="501"/>
      <c r="N445" s="501"/>
      <c r="O445" s="994" t="s">
        <v>92</v>
      </c>
      <c r="P445" s="995"/>
      <c r="Q445" s="995"/>
      <c r="R445" s="995"/>
      <c r="S445" s="995"/>
      <c r="T445" s="995"/>
      <c r="U445" s="996"/>
    </row>
    <row r="446" spans="1:21" s="232" customFormat="1" ht="18.75" x14ac:dyDescent="0.2">
      <c r="A446" s="498" t="str">
        <f>Tableau!L84</f>
        <v/>
      </c>
      <c r="C446" s="231"/>
      <c r="D446" s="448"/>
      <c r="E446" s="448"/>
      <c r="F446" s="448"/>
      <c r="G446" s="448"/>
      <c r="H446" s="448"/>
      <c r="I446" s="448"/>
      <c r="J446" s="448"/>
      <c r="K446" s="425"/>
      <c r="L446" s="498" t="str">
        <f>Tableau!L88</f>
        <v/>
      </c>
      <c r="M446" s="231"/>
      <c r="N446" s="231"/>
      <c r="O446" s="448"/>
      <c r="P446" s="448"/>
      <c r="Q446" s="448"/>
      <c r="R446" s="448"/>
      <c r="S446" s="448"/>
      <c r="T446" s="449"/>
      <c r="U446" s="448"/>
    </row>
    <row r="447" spans="1:21" s="232" customFormat="1" ht="20.100000000000001" customHeight="1" x14ac:dyDescent="0.2">
      <c r="A447" s="990" t="str">
        <f>IF(A446="","",VLOOKUP(A446,liste!$A$9:$G$145,2,FALSE))</f>
        <v/>
      </c>
      <c r="B447" s="991" t="s">
        <v>288</v>
      </c>
      <c r="C447" s="991" t="s">
        <v>288</v>
      </c>
      <c r="D447" s="447"/>
      <c r="E447" s="447"/>
      <c r="F447" s="447"/>
      <c r="G447" s="447"/>
      <c r="H447" s="447"/>
      <c r="I447" s="447"/>
      <c r="J447" s="447"/>
      <c r="K447" s="425"/>
      <c r="L447" s="990" t="str">
        <f>IF(L446="","",VLOOKUP(L446,liste!$A$9:$G$145,2,FALSE))</f>
        <v/>
      </c>
      <c r="M447" s="991" t="s">
        <v>288</v>
      </c>
      <c r="N447" s="991" t="s">
        <v>288</v>
      </c>
      <c r="O447" s="447"/>
      <c r="P447" s="447"/>
      <c r="Q447" s="447"/>
      <c r="R447" s="447"/>
      <c r="S447" s="447"/>
      <c r="T447" s="428"/>
      <c r="U447" s="447"/>
    </row>
    <row r="448" spans="1:21" s="232" customFormat="1" ht="20.100000000000001" customHeight="1" x14ac:dyDescent="0.2">
      <c r="A448" s="440"/>
      <c r="B448" s="438"/>
      <c r="C448" s="450" t="str">
        <f>IF(A446="","",VLOOKUP(A446,liste!$A$9:$G$145,4,FALSE))</f>
        <v/>
      </c>
      <c r="D448" s="451"/>
      <c r="E448" s="451"/>
      <c r="F448" s="451"/>
      <c r="G448" s="451"/>
      <c r="H448" s="451"/>
      <c r="I448" s="451"/>
      <c r="J448" s="451"/>
      <c r="K448" s="425"/>
      <c r="L448" s="440"/>
      <c r="M448" s="438"/>
      <c r="N448" s="450" t="str">
        <f>IF(L446="","",VLOOKUP(L446,liste!$A$9:$G$145,4,FALSE))</f>
        <v/>
      </c>
      <c r="O448" s="451"/>
      <c r="P448" s="451"/>
      <c r="Q448" s="451"/>
      <c r="R448" s="451"/>
      <c r="S448" s="451"/>
      <c r="T448" s="452"/>
      <c r="U448" s="451"/>
    </row>
    <row r="449" spans="1:21" s="232" customFormat="1" ht="15.75" x14ac:dyDescent="0.2">
      <c r="A449" s="468" t="str">
        <f>IF(A446="","",VLOOKUP(A446,liste!$A$9:$G$145,3,FALSE))</f>
        <v/>
      </c>
      <c r="B449" s="438"/>
      <c r="C449" s="438"/>
      <c r="D449" s="455"/>
      <c r="E449" s="455"/>
      <c r="F449" s="455"/>
      <c r="G449" s="455"/>
      <c r="H449" s="455"/>
      <c r="I449" s="455"/>
      <c r="J449" s="455"/>
      <c r="K449" s="425"/>
      <c r="L449" s="468" t="str">
        <f>IF(L446="","",VLOOKUP(L446,liste!$A$9:$G$145,3,FALSE))</f>
        <v/>
      </c>
      <c r="M449" s="438"/>
      <c r="N449" s="438"/>
      <c r="O449" s="454"/>
      <c r="P449" s="454"/>
      <c r="Q449" s="454"/>
      <c r="R449" s="454"/>
      <c r="S449" s="454"/>
      <c r="T449" s="456"/>
      <c r="U449" s="454"/>
    </row>
    <row r="450" spans="1:21" s="232" customFormat="1" ht="12.75" x14ac:dyDescent="0.2">
      <c r="A450" s="425"/>
      <c r="B450" s="230" t="s">
        <v>9</v>
      </c>
      <c r="C450" s="231"/>
      <c r="D450" s="458"/>
      <c r="E450" s="458"/>
      <c r="F450" s="458"/>
      <c r="G450" s="458"/>
      <c r="H450" s="458"/>
      <c r="I450" s="458"/>
      <c r="J450" s="458"/>
      <c r="K450" s="425"/>
      <c r="L450" s="425"/>
      <c r="M450" s="230" t="s">
        <v>9</v>
      </c>
      <c r="N450" s="231"/>
      <c r="O450" s="457"/>
      <c r="P450" s="457"/>
      <c r="Q450" s="457"/>
      <c r="R450" s="457"/>
      <c r="S450" s="457"/>
      <c r="T450" s="459"/>
      <c r="U450" s="457"/>
    </row>
    <row r="451" spans="1:21" s="232" customFormat="1" ht="18.75" x14ac:dyDescent="0.2">
      <c r="A451" s="498" t="str">
        <f>Tableau!L86</f>
        <v/>
      </c>
      <c r="B451" s="469"/>
      <c r="C451" s="231"/>
      <c r="D451" s="448"/>
      <c r="E451" s="448"/>
      <c r="F451" s="448"/>
      <c r="G451" s="448"/>
      <c r="H451" s="448"/>
      <c r="I451" s="448"/>
      <c r="J451" s="448"/>
      <c r="K451" s="425"/>
      <c r="L451" s="498" t="str">
        <f>Tableau!L90</f>
        <v/>
      </c>
      <c r="M451" s="231"/>
      <c r="N451" s="231"/>
      <c r="O451" s="448"/>
      <c r="P451" s="448"/>
      <c r="Q451" s="448"/>
      <c r="R451" s="448"/>
      <c r="S451" s="448"/>
      <c r="T451" s="449"/>
      <c r="U451" s="448"/>
    </row>
    <row r="452" spans="1:21" s="232" customFormat="1" ht="20.100000000000001" customHeight="1" x14ac:dyDescent="0.2">
      <c r="A452" s="990" t="str">
        <f>IF(A451="","",VLOOKUP(A451,liste!$A$9:$G$145,2,FALSE))</f>
        <v/>
      </c>
      <c r="B452" s="991" t="s">
        <v>288</v>
      </c>
      <c r="C452" s="991" t="s">
        <v>288</v>
      </c>
      <c r="D452" s="447"/>
      <c r="E452" s="447"/>
      <c r="F452" s="447"/>
      <c r="G452" s="447"/>
      <c r="H452" s="447"/>
      <c r="I452" s="447"/>
      <c r="J452" s="447"/>
      <c r="K452" s="425"/>
      <c r="L452" s="990" t="str">
        <f>IF(L451="","",VLOOKUP(L451,liste!$A$9:$G$145,2,FALSE))</f>
        <v/>
      </c>
      <c r="M452" s="991" t="s">
        <v>288</v>
      </c>
      <c r="N452" s="991" t="s">
        <v>288</v>
      </c>
      <c r="O452" s="447"/>
      <c r="P452" s="447"/>
      <c r="Q452" s="447"/>
      <c r="R452" s="447"/>
      <c r="S452" s="447"/>
      <c r="T452" s="428"/>
      <c r="U452" s="447"/>
    </row>
    <row r="453" spans="1:21" s="232" customFormat="1" ht="20.100000000000001" customHeight="1" x14ac:dyDescent="0.2">
      <c r="A453" s="440"/>
      <c r="B453" s="438"/>
      <c r="C453" s="450" t="str">
        <f>IF(A451="","",VLOOKUP(A451,liste!$A$9:$G$145,4,FALSE))</f>
        <v/>
      </c>
      <c r="D453" s="451"/>
      <c r="E453" s="451"/>
      <c r="F453" s="451"/>
      <c r="G453" s="451"/>
      <c r="H453" s="451"/>
      <c r="I453" s="451"/>
      <c r="J453" s="451"/>
      <c r="K453" s="425"/>
      <c r="L453" s="440"/>
      <c r="M453" s="438"/>
      <c r="N453" s="450" t="str">
        <f>IF(L451="","",VLOOKUP(L451,liste!$A$9:$G$145,4,FALSE))</f>
        <v/>
      </c>
      <c r="O453" s="451"/>
      <c r="P453" s="451"/>
      <c r="Q453" s="451"/>
      <c r="R453" s="451"/>
      <c r="S453" s="451"/>
      <c r="T453" s="452"/>
      <c r="U453" s="451"/>
    </row>
    <row r="454" spans="1:21" s="232" customFormat="1" ht="15.75" x14ac:dyDescent="0.2">
      <c r="A454" s="473" t="str">
        <f>IF(A451="","",VLOOKUP(A451,liste!$A$9:$G$145,3,FALSE))</f>
        <v/>
      </c>
      <c r="B454" s="438"/>
      <c r="C454" s="438"/>
      <c r="D454" s="455"/>
      <c r="E454" s="455"/>
      <c r="F454" s="455"/>
      <c r="G454" s="455"/>
      <c r="H454" s="455"/>
      <c r="I454" s="455"/>
      <c r="J454" s="455"/>
      <c r="K454" s="425"/>
      <c r="L454" s="468" t="str">
        <f>IF(L451="","",VLOOKUP(L451,liste!$A$9:$G$145,3,FALSE))</f>
        <v/>
      </c>
      <c r="M454" s="438"/>
      <c r="N454" s="438"/>
      <c r="O454" s="454"/>
      <c r="P454" s="454"/>
      <c r="Q454" s="454"/>
      <c r="R454" s="454"/>
      <c r="S454" s="454"/>
      <c r="T454" s="456"/>
      <c r="U454" s="454"/>
    </row>
    <row r="455" spans="1:21" s="232" customFormat="1" ht="12.75" x14ac:dyDescent="0.2">
      <c r="A455" s="425"/>
      <c r="B455" s="231"/>
      <c r="C455" s="231"/>
      <c r="D455" s="458"/>
      <c r="E455" s="458"/>
      <c r="F455" s="458"/>
      <c r="G455" s="458"/>
      <c r="H455" s="458"/>
      <c r="I455" s="458"/>
      <c r="J455" s="458"/>
      <c r="K455" s="425"/>
      <c r="L455" s="425"/>
      <c r="M455" s="231"/>
      <c r="N455" s="231"/>
      <c r="O455" s="457"/>
      <c r="P455" s="457"/>
      <c r="Q455" s="457"/>
      <c r="R455" s="457"/>
      <c r="S455" s="457"/>
      <c r="T455" s="459"/>
      <c r="U455" s="457"/>
    </row>
    <row r="456" spans="1:21" s="232" customFormat="1" ht="12.75" x14ac:dyDescent="0.2">
      <c r="A456" s="425"/>
      <c r="B456" s="231"/>
      <c r="C456" s="231"/>
      <c r="D456" s="231"/>
      <c r="E456" s="231"/>
      <c r="F456" s="231"/>
      <c r="G456" s="231"/>
      <c r="H456" s="231"/>
      <c r="I456" s="231"/>
      <c r="J456" s="428"/>
      <c r="K456" s="425"/>
      <c r="L456" s="425"/>
      <c r="M456" s="231"/>
      <c r="N456" s="231"/>
      <c r="O456" s="231"/>
      <c r="P456" s="231"/>
      <c r="Q456" s="231"/>
      <c r="R456" s="231"/>
      <c r="S456" s="231"/>
      <c r="T456" s="231"/>
      <c r="U456" s="428"/>
    </row>
    <row r="457" spans="1:21" s="232" customFormat="1" ht="20.100000000000001" customHeight="1" x14ac:dyDescent="0.2">
      <c r="A457" s="988" t="s">
        <v>90</v>
      </c>
      <c r="B457" s="989"/>
      <c r="C457" s="989"/>
      <c r="D457" s="461" t="s">
        <v>77</v>
      </c>
      <c r="E457" s="461" t="s">
        <v>87</v>
      </c>
      <c r="F457" s="461" t="s">
        <v>88</v>
      </c>
      <c r="G457" s="231"/>
      <c r="H457" s="231"/>
      <c r="I457" s="231"/>
      <c r="J457" s="428"/>
      <c r="K457" s="425"/>
      <c r="L457" s="988" t="s">
        <v>90</v>
      </c>
      <c r="M457" s="989"/>
      <c r="N457" s="989"/>
      <c r="O457" s="461" t="s">
        <v>77</v>
      </c>
      <c r="P457" s="461" t="s">
        <v>87</v>
      </c>
      <c r="Q457" s="461" t="s">
        <v>88</v>
      </c>
      <c r="R457" s="231"/>
      <c r="S457" s="231"/>
      <c r="T457" s="231"/>
      <c r="U457" s="428"/>
    </row>
    <row r="458" spans="1:21" s="232" customFormat="1" ht="20.100000000000001" customHeight="1" x14ac:dyDescent="0.2">
      <c r="A458" s="462" t="str">
        <f>A447</f>
        <v/>
      </c>
      <c r="B458" s="426"/>
      <c r="C458" s="449"/>
      <c r="D458" s="448"/>
      <c r="E458" s="448"/>
      <c r="F458" s="448"/>
      <c r="G458" s="231"/>
      <c r="H458" s="231"/>
      <c r="I458" s="231"/>
      <c r="J458" s="428"/>
      <c r="K458" s="425"/>
      <c r="L458" s="462" t="str">
        <f>L447</f>
        <v/>
      </c>
      <c r="M458" s="426"/>
      <c r="N458" s="449"/>
      <c r="O458" s="448"/>
      <c r="P458" s="448"/>
      <c r="Q458" s="448"/>
      <c r="R458" s="231"/>
      <c r="S458" s="231"/>
      <c r="T458" s="231"/>
      <c r="U458" s="428"/>
    </row>
    <row r="459" spans="1:21" s="232" customFormat="1" ht="20.100000000000001" customHeight="1" x14ac:dyDescent="0.2">
      <c r="A459" s="463"/>
      <c r="B459" s="233"/>
      <c r="C459" s="452"/>
      <c r="D459" s="451"/>
      <c r="E459" s="451"/>
      <c r="F459" s="451"/>
      <c r="G459" s="231"/>
      <c r="H459" s="231"/>
      <c r="I459" s="231"/>
      <c r="J459" s="428"/>
      <c r="K459" s="425"/>
      <c r="L459" s="463"/>
      <c r="M459" s="233"/>
      <c r="N459" s="452"/>
      <c r="O459" s="451"/>
      <c r="P459" s="451"/>
      <c r="Q459" s="451"/>
      <c r="R459" s="231"/>
      <c r="S459" s="231"/>
      <c r="T459" s="231"/>
      <c r="U459" s="428"/>
    </row>
    <row r="460" spans="1:21" s="232" customFormat="1" ht="20.100000000000001" customHeight="1" x14ac:dyDescent="0.2">
      <c r="A460" s="462" t="str">
        <f>A452</f>
        <v/>
      </c>
      <c r="B460" s="426"/>
      <c r="C460" s="449"/>
      <c r="D460" s="448"/>
      <c r="E460" s="448"/>
      <c r="F460" s="448"/>
      <c r="G460" s="231"/>
      <c r="H460" s="231"/>
      <c r="I460" s="231"/>
      <c r="J460" s="428"/>
      <c r="K460" s="425"/>
      <c r="L460" s="462" t="str">
        <f>L452</f>
        <v/>
      </c>
      <c r="M460" s="426"/>
      <c r="N460" s="449"/>
      <c r="O460" s="448"/>
      <c r="P460" s="448"/>
      <c r="Q460" s="448"/>
      <c r="R460" s="231"/>
      <c r="S460" s="231"/>
      <c r="T460" s="231"/>
      <c r="U460" s="428"/>
    </row>
    <row r="461" spans="1:21" s="232" customFormat="1" ht="20.100000000000001" customHeight="1" x14ac:dyDescent="0.2">
      <c r="A461" s="463"/>
      <c r="B461" s="233"/>
      <c r="C461" s="452"/>
      <c r="D461" s="451"/>
      <c r="E461" s="451"/>
      <c r="F461" s="451"/>
      <c r="G461" s="231"/>
      <c r="H461" s="231"/>
      <c r="I461" s="231"/>
      <c r="J461" s="428"/>
      <c r="K461" s="425"/>
      <c r="L461" s="463"/>
      <c r="M461" s="233"/>
      <c r="N461" s="452"/>
      <c r="O461" s="451"/>
      <c r="P461" s="451"/>
      <c r="Q461" s="451"/>
      <c r="R461" s="231"/>
      <c r="S461" s="231"/>
      <c r="T461" s="231"/>
      <c r="U461" s="428"/>
    </row>
    <row r="462" spans="1:21" s="232" customFormat="1" ht="12.75" x14ac:dyDescent="0.2">
      <c r="A462" s="464" t="s">
        <v>91</v>
      </c>
      <c r="B462" s="231"/>
      <c r="C462" s="231"/>
      <c r="D462" s="231"/>
      <c r="E462" s="231"/>
      <c r="F462" s="231"/>
      <c r="G462" s="231"/>
      <c r="H462" s="231"/>
      <c r="I462" s="231"/>
      <c r="J462" s="428"/>
      <c r="K462" s="425"/>
      <c r="L462" s="464" t="s">
        <v>91</v>
      </c>
      <c r="M462" s="231"/>
      <c r="N462" s="231"/>
      <c r="O462" s="231"/>
      <c r="P462" s="231"/>
      <c r="Q462" s="231"/>
      <c r="R462" s="231"/>
      <c r="S462" s="231"/>
      <c r="T462" s="231"/>
      <c r="U462" s="428"/>
    </row>
    <row r="463" spans="1:21" s="232" customFormat="1" ht="12.75" x14ac:dyDescent="0.2">
      <c r="A463" s="425"/>
      <c r="B463" s="231"/>
      <c r="C463" s="231"/>
      <c r="D463" s="231"/>
      <c r="E463" s="231"/>
      <c r="F463" s="231"/>
      <c r="G463" s="231"/>
      <c r="H463" s="231"/>
      <c r="I463" s="231"/>
      <c r="J463" s="428"/>
      <c r="K463" s="425"/>
      <c r="L463" s="425"/>
      <c r="M463" s="231"/>
      <c r="N463" s="231"/>
      <c r="O463" s="231"/>
      <c r="P463" s="231"/>
      <c r="Q463" s="231"/>
      <c r="R463" s="231"/>
      <c r="S463" s="231"/>
      <c r="T463" s="231"/>
      <c r="U463" s="428"/>
    </row>
    <row r="464" spans="1:21" s="232" customFormat="1" ht="12.75" customHeight="1" x14ac:dyDescent="0.2">
      <c r="A464" s="465" t="s">
        <v>89</v>
      </c>
      <c r="B464" s="233"/>
      <c r="C464" s="233"/>
      <c r="D464" s="233"/>
      <c r="E464" s="233"/>
      <c r="F464" s="233"/>
      <c r="G464" s="233"/>
      <c r="H464" s="233"/>
      <c r="I464" s="233"/>
      <c r="J464" s="452"/>
      <c r="K464" s="425"/>
      <c r="L464" s="465" t="s">
        <v>89</v>
      </c>
      <c r="M464" s="233"/>
      <c r="N464" s="233"/>
      <c r="O464" s="233"/>
      <c r="P464" s="233"/>
      <c r="Q464" s="233"/>
      <c r="R464" s="233"/>
      <c r="S464" s="233"/>
      <c r="T464" s="233"/>
      <c r="U464" s="452"/>
    </row>
    <row r="465" spans="1:21" s="232" customFormat="1" ht="20.100000000000001" customHeight="1" x14ac:dyDescent="0.2">
      <c r="A465" s="1005" t="str">
        <f>$A$1</f>
        <v>Circuit décathlon</v>
      </c>
      <c r="B465" s="1006"/>
      <c r="C465" s="1006"/>
      <c r="D465" s="1006"/>
      <c r="E465" s="1006"/>
      <c r="F465" s="1006"/>
      <c r="G465" s="1006"/>
      <c r="H465" s="1006"/>
      <c r="I465" s="1006"/>
      <c r="J465" s="1007"/>
      <c r="K465" s="425"/>
      <c r="L465" s="1005" t="str">
        <f>$A$1</f>
        <v>Circuit décathlon</v>
      </c>
      <c r="M465" s="1006"/>
      <c r="N465" s="1006"/>
      <c r="O465" s="1006"/>
      <c r="P465" s="1006"/>
      <c r="Q465" s="1006"/>
      <c r="R465" s="1006"/>
      <c r="S465" s="1006"/>
      <c r="T465" s="426"/>
      <c r="U465" s="449"/>
    </row>
    <row r="466" spans="1:21" s="232" customFormat="1" ht="15.75" x14ac:dyDescent="0.2">
      <c r="A466" s="425"/>
      <c r="B466" s="231"/>
      <c r="C466" s="231"/>
      <c r="D466" s="427" t="s">
        <v>83</v>
      </c>
      <c r="E466" s="474">
        <f>Rens!J29</f>
        <v>0</v>
      </c>
      <c r="F466" s="231"/>
      <c r="G466" s="231"/>
      <c r="H466" s="231"/>
      <c r="I466" s="231"/>
      <c r="J466" s="428"/>
      <c r="K466" s="425"/>
      <c r="L466" s="425"/>
      <c r="M466" s="231"/>
      <c r="N466" s="231"/>
      <c r="O466" s="427" t="s">
        <v>83</v>
      </c>
      <c r="P466" s="474">
        <f>Rens!J30</f>
        <v>0</v>
      </c>
      <c r="Q466" s="231"/>
      <c r="R466" s="231"/>
      <c r="S466" s="231"/>
      <c r="T466" s="231"/>
      <c r="U466" s="428"/>
    </row>
    <row r="467" spans="1:21" s="343" customFormat="1" ht="18.75" x14ac:dyDescent="0.2">
      <c r="A467" s="429" t="s">
        <v>84</v>
      </c>
      <c r="B467" s="430" t="str">
        <f>liste!$A$6</f>
        <v>Minimes</v>
      </c>
      <c r="C467" s="345"/>
      <c r="D467" s="345"/>
      <c r="E467" s="345"/>
      <c r="F467" s="345"/>
      <c r="G467" s="345"/>
      <c r="H467" s="345"/>
      <c r="I467" s="345"/>
      <c r="J467" s="431"/>
      <c r="K467" s="432"/>
      <c r="L467" s="429" t="s">
        <v>84</v>
      </c>
      <c r="M467" s="430" t="str">
        <f>$B$3</f>
        <v>Minimes</v>
      </c>
      <c r="N467" s="345"/>
      <c r="O467" s="345"/>
      <c r="P467" s="345"/>
      <c r="Q467" s="345"/>
      <c r="R467" s="345"/>
      <c r="S467" s="345"/>
      <c r="T467" s="345"/>
      <c r="U467" s="431"/>
    </row>
    <row r="468" spans="1:21" s="343" customFormat="1" ht="18.75" x14ac:dyDescent="0.2">
      <c r="A468" s="997" t="s">
        <v>207</v>
      </c>
      <c r="B468" s="998"/>
      <c r="C468" s="998"/>
      <c r="D468" s="998"/>
      <c r="E468" s="345"/>
      <c r="F468" s="345"/>
      <c r="G468" s="430" t="str">
        <f>Rens!I29</f>
        <v>C</v>
      </c>
      <c r="H468" s="430"/>
      <c r="I468" s="345"/>
      <c r="J468" s="431"/>
      <c r="K468" s="432"/>
      <c r="L468" s="997" t="str">
        <f>A468</f>
        <v>1/4 de Finale</v>
      </c>
      <c r="M468" s="998"/>
      <c r="N468" s="998"/>
      <c r="O468" s="998"/>
      <c r="P468" s="345"/>
      <c r="Q468" s="345"/>
      <c r="R468" s="430" t="str">
        <f>Rens!I30</f>
        <v>D</v>
      </c>
      <c r="S468" s="430"/>
      <c r="T468" s="430">
        <f>Rens!K30</f>
        <v>0</v>
      </c>
      <c r="U468" s="433"/>
    </row>
    <row r="469" spans="1:21" s="343" customFormat="1" ht="23.25" x14ac:dyDescent="0.2">
      <c r="A469" s="432"/>
      <c r="B469" s="434" t="str">
        <f>Tableau!P46</f>
        <v/>
      </c>
      <c r="C469" s="345"/>
      <c r="D469" s="345"/>
      <c r="E469" s="344" t="s">
        <v>178</v>
      </c>
      <c r="F469" s="234">
        <f>Rens!K29</f>
        <v>0</v>
      </c>
      <c r="G469" s="345"/>
      <c r="H469" s="345"/>
      <c r="I469" s="345"/>
      <c r="J469" s="431"/>
      <c r="K469" s="432"/>
      <c r="L469" s="432"/>
      <c r="M469" s="434" t="str">
        <f>Tableau!P42</f>
        <v/>
      </c>
      <c r="N469" s="345"/>
      <c r="O469" s="345"/>
      <c r="P469" s="344" t="s">
        <v>178</v>
      </c>
      <c r="Q469" s="234">
        <f>Rens!K30</f>
        <v>0</v>
      </c>
      <c r="R469" s="345"/>
      <c r="S469" s="345"/>
      <c r="T469" s="345"/>
      <c r="U469" s="431"/>
    </row>
    <row r="470" spans="1:21" s="442" customFormat="1" ht="15.75" x14ac:dyDescent="0.2">
      <c r="A470" s="435" t="s">
        <v>85</v>
      </c>
      <c r="B470" s="436" t="str">
        <f>IF(B469="","",VLOOKUP(B469,liste!$A$9:$G$145,2,FALSE))</f>
        <v/>
      </c>
      <c r="C470" s="437"/>
      <c r="D470" s="437"/>
      <c r="E470" s="437"/>
      <c r="F470" s="437"/>
      <c r="G470" s="437"/>
      <c r="H470" s="437"/>
      <c r="I470" s="438"/>
      <c r="J470" s="439"/>
      <c r="K470" s="440"/>
      <c r="L470" s="435" t="s">
        <v>85</v>
      </c>
      <c r="M470" s="436" t="str">
        <f>IF(M469="","",VLOOKUP(M469,liste!$A$9:$G$145,2,FALSE))</f>
        <v/>
      </c>
      <c r="N470" s="437"/>
      <c r="O470" s="437"/>
      <c r="P470" s="437"/>
      <c r="Q470" s="437"/>
      <c r="R470" s="437"/>
      <c r="S470" s="437"/>
      <c r="T470" s="437"/>
      <c r="U470" s="441"/>
    </row>
    <row r="471" spans="1:21" s="232" customFormat="1" ht="20.100000000000001" customHeight="1" x14ac:dyDescent="0.2">
      <c r="A471" s="425"/>
      <c r="B471" s="231"/>
      <c r="C471" s="231"/>
      <c r="D471" s="999" t="s">
        <v>19</v>
      </c>
      <c r="E471" s="1000"/>
      <c r="F471" s="1000"/>
      <c r="G471" s="1000"/>
      <c r="H471" s="1000"/>
      <c r="I471" s="1000"/>
      <c r="J471" s="1001"/>
      <c r="K471" s="425"/>
      <c r="L471" s="443"/>
      <c r="M471" s="444"/>
      <c r="N471" s="444"/>
      <c r="O471" s="1002" t="s">
        <v>19</v>
      </c>
      <c r="P471" s="1003"/>
      <c r="Q471" s="1003"/>
      <c r="R471" s="1003"/>
      <c r="S471" s="1003"/>
      <c r="T471" s="1003"/>
      <c r="U471" s="1004"/>
    </row>
    <row r="472" spans="1:21" s="232" customFormat="1" ht="20.100000000000001" customHeight="1" x14ac:dyDescent="0.2">
      <c r="A472" s="992" t="s">
        <v>86</v>
      </c>
      <c r="B472" s="993"/>
      <c r="C472" s="993"/>
      <c r="D472" s="467">
        <v>1</v>
      </c>
      <c r="E472" s="467">
        <v>2</v>
      </c>
      <c r="F472" s="467">
        <v>3</v>
      </c>
      <c r="G472" s="467">
        <v>4</v>
      </c>
      <c r="H472" s="467">
        <v>5</v>
      </c>
      <c r="I472" s="467">
        <v>6</v>
      </c>
      <c r="J472" s="467">
        <v>7</v>
      </c>
      <c r="K472" s="425"/>
      <c r="L472" s="992" t="s">
        <v>86</v>
      </c>
      <c r="M472" s="993"/>
      <c r="N472" s="993"/>
      <c r="O472" s="445">
        <v>1</v>
      </c>
      <c r="P472" s="445">
        <v>2</v>
      </c>
      <c r="Q472" s="445">
        <v>3</v>
      </c>
      <c r="R472" s="445">
        <v>4</v>
      </c>
      <c r="S472" s="446">
        <v>5</v>
      </c>
      <c r="T472" s="497">
        <v>6</v>
      </c>
      <c r="U472" s="446">
        <v>7</v>
      </c>
    </row>
    <row r="473" spans="1:21" s="232" customFormat="1" ht="20.100000000000001" customHeight="1" x14ac:dyDescent="0.2">
      <c r="A473" s="500"/>
      <c r="B473" s="501"/>
      <c r="C473" s="501"/>
      <c r="D473" s="994" t="s">
        <v>92</v>
      </c>
      <c r="E473" s="995"/>
      <c r="F473" s="995"/>
      <c r="G473" s="995"/>
      <c r="H473" s="995"/>
      <c r="I473" s="995"/>
      <c r="J473" s="996"/>
      <c r="K473" s="425"/>
      <c r="L473" s="500"/>
      <c r="M473" s="501"/>
      <c r="N473" s="501"/>
      <c r="O473" s="994" t="s">
        <v>92</v>
      </c>
      <c r="P473" s="995"/>
      <c r="Q473" s="995"/>
      <c r="R473" s="995"/>
      <c r="S473" s="995"/>
      <c r="T473" s="995"/>
      <c r="U473" s="996"/>
    </row>
    <row r="474" spans="1:21" s="232" customFormat="1" ht="18.75" x14ac:dyDescent="0.2">
      <c r="A474" s="498">
        <f>Tableau!AG11</f>
        <v>0</v>
      </c>
      <c r="B474" s="231"/>
      <c r="C474" s="231"/>
      <c r="D474" s="447"/>
      <c r="E474" s="447"/>
      <c r="F474" s="447"/>
      <c r="G474" s="447"/>
      <c r="H474" s="447"/>
      <c r="I474" s="447"/>
      <c r="J474" s="447"/>
      <c r="K474" s="425"/>
      <c r="L474" s="498">
        <f>Tableau!AG21</f>
        <v>0</v>
      </c>
      <c r="M474" s="231"/>
      <c r="N474" s="231"/>
      <c r="O474" s="448"/>
      <c r="P474" s="448"/>
      <c r="Q474" s="448"/>
      <c r="R474" s="448"/>
      <c r="S474" s="448"/>
      <c r="T474" s="449"/>
      <c r="U474" s="448"/>
    </row>
    <row r="475" spans="1:21" s="232" customFormat="1" ht="20.100000000000001" customHeight="1" x14ac:dyDescent="0.2">
      <c r="A475" s="990" t="e">
        <f>IF(A474="","",VLOOKUP(A474,liste!$A$9:$G$145,2,FALSE))</f>
        <v>#N/A</v>
      </c>
      <c r="B475" s="991" t="e">
        <v>#N/A</v>
      </c>
      <c r="C475" s="991" t="e">
        <v>#N/A</v>
      </c>
      <c r="D475" s="447"/>
      <c r="E475" s="447"/>
      <c r="F475" s="447"/>
      <c r="G475" s="447"/>
      <c r="H475" s="447"/>
      <c r="I475" s="447"/>
      <c r="J475" s="447"/>
      <c r="K475" s="425"/>
      <c r="L475" s="990" t="e">
        <f>IF(L474="","",VLOOKUP(L474,liste!$A$9:$G$145,2,FALSE))</f>
        <v>#N/A</v>
      </c>
      <c r="M475" s="991" t="e">
        <v>#N/A</v>
      </c>
      <c r="N475" s="991" t="e">
        <v>#N/A</v>
      </c>
      <c r="O475" s="447"/>
      <c r="P475" s="447"/>
      <c r="Q475" s="447"/>
      <c r="R475" s="447"/>
      <c r="S475" s="447"/>
      <c r="T475" s="428"/>
      <c r="U475" s="447"/>
    </row>
    <row r="476" spans="1:21" s="232" customFormat="1" ht="20.100000000000001" customHeight="1" x14ac:dyDescent="0.2">
      <c r="A476" s="425"/>
      <c r="B476" s="231"/>
      <c r="C476" s="450" t="e">
        <f>IF(A474="","",VLOOKUP(A474,liste!$A$9:$G$145,4,FALSE))</f>
        <v>#N/A</v>
      </c>
      <c r="D476" s="451"/>
      <c r="E476" s="451"/>
      <c r="F476" s="451"/>
      <c r="G476" s="451"/>
      <c r="H476" s="451"/>
      <c r="I476" s="451"/>
      <c r="J476" s="451"/>
      <c r="K476" s="425"/>
      <c r="L476" s="425"/>
      <c r="M476" s="231"/>
      <c r="N476" s="450" t="e">
        <f>IF(L474="","",VLOOKUP(L474,liste!$A$9:$G$145,4,FALSE))</f>
        <v>#N/A</v>
      </c>
      <c r="O476" s="451"/>
      <c r="P476" s="451"/>
      <c r="Q476" s="451"/>
      <c r="R476" s="451"/>
      <c r="S476" s="451"/>
      <c r="T476" s="452"/>
      <c r="U476" s="451"/>
    </row>
    <row r="477" spans="1:21" s="232" customFormat="1" ht="15.75" x14ac:dyDescent="0.2">
      <c r="A477" s="453" t="e">
        <f>IF(A474="","",VLOOKUP(A474,liste!$A$9:$G$145,3,FALSE))</f>
        <v>#N/A</v>
      </c>
      <c r="B477" s="231"/>
      <c r="C477" s="231"/>
      <c r="D477" s="455"/>
      <c r="E477" s="455"/>
      <c r="F477" s="455"/>
      <c r="G477" s="455"/>
      <c r="H477" s="455"/>
      <c r="I477" s="455"/>
      <c r="J477" s="455"/>
      <c r="K477" s="425"/>
      <c r="L477" s="453" t="e">
        <f>IF(L474="","",VLOOKUP(L474,liste!$A$9:$G$145,3,FALSE))</f>
        <v>#N/A</v>
      </c>
      <c r="M477" s="231"/>
      <c r="N477" s="231"/>
      <c r="O477" s="454"/>
      <c r="P477" s="454"/>
      <c r="Q477" s="454"/>
      <c r="R477" s="454"/>
      <c r="S477" s="454"/>
      <c r="T477" s="456"/>
      <c r="U477" s="454"/>
    </row>
    <row r="478" spans="1:21" s="232" customFormat="1" ht="12.75" x14ac:dyDescent="0.2">
      <c r="A478" s="425"/>
      <c r="B478" s="230" t="s">
        <v>9</v>
      </c>
      <c r="C478" s="231"/>
      <c r="D478" s="458"/>
      <c r="E478" s="458"/>
      <c r="F478" s="458"/>
      <c r="G478" s="458"/>
      <c r="H478" s="458"/>
      <c r="I478" s="458"/>
      <c r="J478" s="458"/>
      <c r="K478" s="425"/>
      <c r="L478" s="425"/>
      <c r="M478" s="230" t="s">
        <v>9</v>
      </c>
      <c r="N478" s="231"/>
      <c r="O478" s="457"/>
      <c r="P478" s="457"/>
      <c r="Q478" s="457"/>
      <c r="R478" s="457"/>
      <c r="S478" s="457"/>
      <c r="T478" s="459"/>
      <c r="U478" s="457"/>
    </row>
    <row r="479" spans="1:21" s="232" customFormat="1" ht="18.75" x14ac:dyDescent="0.2">
      <c r="A479" s="498">
        <f>Tableau!AG17</f>
        <v>0</v>
      </c>
      <c r="B479" s="231"/>
      <c r="C479" s="231"/>
      <c r="D479" s="448"/>
      <c r="E479" s="448"/>
      <c r="F479" s="448"/>
      <c r="G479" s="448"/>
      <c r="H479" s="448"/>
      <c r="I479" s="448"/>
      <c r="J479" s="448"/>
      <c r="K479" s="425"/>
      <c r="L479" s="498">
        <f>Tableau!AG27</f>
        <v>0</v>
      </c>
      <c r="M479" s="231"/>
      <c r="N479" s="231"/>
      <c r="O479" s="448"/>
      <c r="P479" s="448"/>
      <c r="Q479" s="448"/>
      <c r="R479" s="448"/>
      <c r="S479" s="448"/>
      <c r="T479" s="449"/>
      <c r="U479" s="448"/>
    </row>
    <row r="480" spans="1:21" s="232" customFormat="1" ht="20.100000000000001" customHeight="1" x14ac:dyDescent="0.2">
      <c r="A480" s="990" t="e">
        <f>IF(A479="","",VLOOKUP(A479,liste!$A$9:$G$145,2,FALSE))</f>
        <v>#N/A</v>
      </c>
      <c r="B480" s="991" t="e">
        <v>#N/A</v>
      </c>
      <c r="C480" s="991" t="e">
        <v>#N/A</v>
      </c>
      <c r="D480" s="447"/>
      <c r="E480" s="447"/>
      <c r="F480" s="447"/>
      <c r="G480" s="447"/>
      <c r="H480" s="447"/>
      <c r="I480" s="447"/>
      <c r="J480" s="447"/>
      <c r="K480" s="425"/>
      <c r="L480" s="990" t="e">
        <f>IF(L479="","",VLOOKUP(L479,liste!$A$9:$G$145,2,FALSE))</f>
        <v>#N/A</v>
      </c>
      <c r="M480" s="991" t="e">
        <v>#N/A</v>
      </c>
      <c r="N480" s="991" t="e">
        <v>#N/A</v>
      </c>
      <c r="O480" s="447"/>
      <c r="P480" s="447"/>
      <c r="Q480" s="447"/>
      <c r="R480" s="447"/>
      <c r="S480" s="447"/>
      <c r="T480" s="428"/>
      <c r="U480" s="447"/>
    </row>
    <row r="481" spans="1:21" s="232" customFormat="1" ht="20.100000000000001" customHeight="1" x14ac:dyDescent="0.2">
      <c r="A481" s="425"/>
      <c r="B481" s="231"/>
      <c r="C481" s="460" t="e">
        <f>IF(A479="","",VLOOKUP(A479,liste!$A$9:$G$145,4,FALSE))</f>
        <v>#N/A</v>
      </c>
      <c r="D481" s="451"/>
      <c r="E481" s="451"/>
      <c r="F481" s="451"/>
      <c r="G481" s="451"/>
      <c r="H481" s="451"/>
      <c r="I481" s="451"/>
      <c r="J481" s="451"/>
      <c r="K481" s="425"/>
      <c r="L481" s="425"/>
      <c r="M481" s="231"/>
      <c r="N481" s="460" t="e">
        <f>IF(L479="","",VLOOKUP(L479,liste!$A$9:$G$145,4,FALSE))</f>
        <v>#N/A</v>
      </c>
      <c r="O481" s="451"/>
      <c r="P481" s="451"/>
      <c r="Q481" s="451"/>
      <c r="R481" s="451"/>
      <c r="S481" s="451"/>
      <c r="T481" s="452"/>
      <c r="U481" s="451"/>
    </row>
    <row r="482" spans="1:21" s="232" customFormat="1" ht="15.75" x14ac:dyDescent="0.2">
      <c r="A482" s="453" t="e">
        <f>IF(A479="","",VLOOKUP(A479,liste!$A$9:$G$145,3,FALSE))</f>
        <v>#N/A</v>
      </c>
      <c r="B482" s="231"/>
      <c r="C482" s="231"/>
      <c r="D482" s="455"/>
      <c r="E482" s="455"/>
      <c r="F482" s="455"/>
      <c r="G482" s="455"/>
      <c r="H482" s="455"/>
      <c r="I482" s="455"/>
      <c r="J482" s="455"/>
      <c r="K482" s="425"/>
      <c r="L482" s="453" t="e">
        <f>IF(L479="","",VLOOKUP(L479,liste!$A$9:$G$145,3,FALSE))</f>
        <v>#N/A</v>
      </c>
      <c r="M482" s="231"/>
      <c r="N482" s="231"/>
      <c r="O482" s="454"/>
      <c r="P482" s="454"/>
      <c r="Q482" s="454"/>
      <c r="R482" s="454"/>
      <c r="S482" s="454"/>
      <c r="T482" s="456"/>
      <c r="U482" s="454"/>
    </row>
    <row r="483" spans="1:21" s="232" customFormat="1" ht="12.75" x14ac:dyDescent="0.2">
      <c r="A483" s="425"/>
      <c r="B483" s="231"/>
      <c r="C483" s="231"/>
      <c r="D483" s="458"/>
      <c r="E483" s="458"/>
      <c r="F483" s="458"/>
      <c r="G483" s="458"/>
      <c r="H483" s="458"/>
      <c r="I483" s="458"/>
      <c r="J483" s="458"/>
      <c r="K483" s="425"/>
      <c r="L483" s="425"/>
      <c r="M483" s="231"/>
      <c r="N483" s="231"/>
      <c r="O483" s="457"/>
      <c r="P483" s="457"/>
      <c r="Q483" s="457"/>
      <c r="R483" s="457"/>
      <c r="S483" s="457"/>
      <c r="T483" s="459"/>
      <c r="U483" s="457"/>
    </row>
    <row r="484" spans="1:21" s="232" customFormat="1" ht="12.75" x14ac:dyDescent="0.2">
      <c r="A484" s="425"/>
      <c r="B484" s="231"/>
      <c r="C484" s="231"/>
      <c r="D484" s="231"/>
      <c r="E484" s="231"/>
      <c r="F484" s="231"/>
      <c r="G484" s="231"/>
      <c r="H484" s="231"/>
      <c r="I484" s="231"/>
      <c r="J484" s="428"/>
      <c r="K484" s="425"/>
      <c r="L484" s="425"/>
      <c r="M484" s="231"/>
      <c r="N484" s="231"/>
      <c r="O484" s="231"/>
      <c r="P484" s="231"/>
      <c r="Q484" s="231"/>
      <c r="R484" s="231"/>
      <c r="S484" s="231"/>
      <c r="T484" s="231"/>
      <c r="U484" s="428"/>
    </row>
    <row r="485" spans="1:21" s="232" customFormat="1" ht="20.100000000000001" customHeight="1" x14ac:dyDescent="0.2">
      <c r="A485" s="988" t="s">
        <v>90</v>
      </c>
      <c r="B485" s="989"/>
      <c r="C485" s="989"/>
      <c r="D485" s="461" t="s">
        <v>77</v>
      </c>
      <c r="E485" s="461" t="s">
        <v>87</v>
      </c>
      <c r="F485" s="461" t="s">
        <v>88</v>
      </c>
      <c r="G485" s="231"/>
      <c r="H485" s="231"/>
      <c r="I485" s="231"/>
      <c r="J485" s="428"/>
      <c r="K485" s="425"/>
      <c r="L485" s="988" t="s">
        <v>90</v>
      </c>
      <c r="M485" s="989"/>
      <c r="N485" s="989"/>
      <c r="O485" s="461" t="s">
        <v>77</v>
      </c>
      <c r="P485" s="461" t="s">
        <v>87</v>
      </c>
      <c r="Q485" s="461" t="s">
        <v>88</v>
      </c>
      <c r="R485" s="231"/>
      <c r="S485" s="231"/>
      <c r="T485" s="231"/>
      <c r="U485" s="428"/>
    </row>
    <row r="486" spans="1:21" s="232" customFormat="1" ht="20.100000000000001" customHeight="1" x14ac:dyDescent="0.2">
      <c r="A486" s="462" t="e">
        <f>A475</f>
        <v>#N/A</v>
      </c>
      <c r="B486" s="426"/>
      <c r="C486" s="449"/>
      <c r="D486" s="448"/>
      <c r="E486" s="448"/>
      <c r="F486" s="448"/>
      <c r="G486" s="231"/>
      <c r="H486" s="231"/>
      <c r="I486" s="231"/>
      <c r="J486" s="428"/>
      <c r="K486" s="425"/>
      <c r="L486" s="462" t="e">
        <f>L475</f>
        <v>#N/A</v>
      </c>
      <c r="M486" s="426"/>
      <c r="N486" s="449"/>
      <c r="O486" s="448"/>
      <c r="P486" s="448"/>
      <c r="Q486" s="448"/>
      <c r="R486" s="231"/>
      <c r="S486" s="231"/>
      <c r="T486" s="231"/>
      <c r="U486" s="428"/>
    </row>
    <row r="487" spans="1:21" s="232" customFormat="1" ht="20.100000000000001" customHeight="1" x14ac:dyDescent="0.2">
      <c r="A487" s="463"/>
      <c r="B487" s="233"/>
      <c r="C487" s="452"/>
      <c r="D487" s="451"/>
      <c r="E487" s="451"/>
      <c r="F487" s="451"/>
      <c r="G487" s="231"/>
      <c r="H487" s="231"/>
      <c r="I487" s="231"/>
      <c r="J487" s="428"/>
      <c r="K487" s="425"/>
      <c r="L487" s="463"/>
      <c r="M487" s="233"/>
      <c r="N487" s="452"/>
      <c r="O487" s="451"/>
      <c r="P487" s="451"/>
      <c r="Q487" s="451"/>
      <c r="R487" s="231"/>
      <c r="S487" s="231"/>
      <c r="T487" s="231"/>
      <c r="U487" s="428"/>
    </row>
    <row r="488" spans="1:21" s="232" customFormat="1" ht="20.100000000000001" customHeight="1" x14ac:dyDescent="0.2">
      <c r="A488" s="462" t="e">
        <f>A480</f>
        <v>#N/A</v>
      </c>
      <c r="B488" s="426"/>
      <c r="C488" s="449"/>
      <c r="D488" s="448"/>
      <c r="E488" s="448"/>
      <c r="F488" s="448"/>
      <c r="G488" s="231"/>
      <c r="H488" s="231"/>
      <c r="I488" s="231"/>
      <c r="J488" s="428"/>
      <c r="K488" s="425"/>
      <c r="L488" s="462" t="e">
        <f>L480</f>
        <v>#N/A</v>
      </c>
      <c r="M488" s="426"/>
      <c r="N488" s="449"/>
      <c r="O488" s="448"/>
      <c r="P488" s="448"/>
      <c r="Q488" s="448"/>
      <c r="R488" s="231"/>
      <c r="S488" s="231"/>
      <c r="T488" s="231"/>
      <c r="U488" s="428"/>
    </row>
    <row r="489" spans="1:21" s="232" customFormat="1" ht="20.100000000000001" customHeight="1" x14ac:dyDescent="0.2">
      <c r="A489" s="463"/>
      <c r="B489" s="233"/>
      <c r="C489" s="452"/>
      <c r="D489" s="451"/>
      <c r="E489" s="451"/>
      <c r="F489" s="451"/>
      <c r="G489" s="231"/>
      <c r="H489" s="231"/>
      <c r="I489" s="231"/>
      <c r="J489" s="428"/>
      <c r="K489" s="425"/>
      <c r="L489" s="463"/>
      <c r="M489" s="233"/>
      <c r="N489" s="452"/>
      <c r="O489" s="451"/>
      <c r="P489" s="451"/>
      <c r="Q489" s="451"/>
      <c r="R489" s="231"/>
      <c r="S489" s="231"/>
      <c r="T489" s="231"/>
      <c r="U489" s="428"/>
    </row>
    <row r="490" spans="1:21" s="232" customFormat="1" ht="12.75" x14ac:dyDescent="0.2">
      <c r="A490" s="464" t="s">
        <v>91</v>
      </c>
      <c r="B490" s="231"/>
      <c r="C490" s="231"/>
      <c r="D490" s="231"/>
      <c r="E490" s="231"/>
      <c r="F490" s="231"/>
      <c r="G490" s="231"/>
      <c r="H490" s="231"/>
      <c r="I490" s="231"/>
      <c r="J490" s="428"/>
      <c r="K490" s="425"/>
      <c r="L490" s="464" t="s">
        <v>91</v>
      </c>
      <c r="M490" s="231"/>
      <c r="N490" s="231"/>
      <c r="O490" s="231"/>
      <c r="P490" s="231"/>
      <c r="Q490" s="231"/>
      <c r="R490" s="231"/>
      <c r="S490" s="231"/>
      <c r="T490" s="231"/>
      <c r="U490" s="428"/>
    </row>
    <row r="491" spans="1:21" s="232" customFormat="1" ht="12.75" x14ac:dyDescent="0.2">
      <c r="A491" s="425"/>
      <c r="B491" s="231"/>
      <c r="C491" s="231"/>
      <c r="D491" s="231"/>
      <c r="E491" s="231"/>
      <c r="F491" s="231"/>
      <c r="G491" s="231"/>
      <c r="H491" s="231"/>
      <c r="I491" s="231"/>
      <c r="J491" s="428"/>
      <c r="K491" s="425"/>
      <c r="L491" s="425"/>
      <c r="M491" s="231"/>
      <c r="N491" s="231"/>
      <c r="O491" s="231"/>
      <c r="P491" s="231"/>
      <c r="Q491" s="231"/>
      <c r="R491" s="231"/>
      <c r="S491" s="231"/>
      <c r="T491" s="231"/>
      <c r="U491" s="428"/>
    </row>
    <row r="492" spans="1:21" s="232" customFormat="1" ht="12.75" x14ac:dyDescent="0.2">
      <c r="A492" s="465" t="s">
        <v>89</v>
      </c>
      <c r="B492" s="233"/>
      <c r="C492" s="233"/>
      <c r="D492" s="233"/>
      <c r="E492" s="233"/>
      <c r="F492" s="233"/>
      <c r="G492" s="233"/>
      <c r="H492" s="233"/>
      <c r="I492" s="233"/>
      <c r="J492" s="452"/>
      <c r="K492" s="425"/>
      <c r="L492" s="465" t="s">
        <v>89</v>
      </c>
      <c r="M492" s="233"/>
      <c r="N492" s="233"/>
      <c r="O492" s="233"/>
      <c r="P492" s="233"/>
      <c r="Q492" s="233"/>
      <c r="R492" s="233"/>
      <c r="S492" s="233"/>
      <c r="T492" s="233"/>
      <c r="U492" s="452"/>
    </row>
    <row r="493" spans="1:21" s="232" customFormat="1" ht="30" customHeight="1" x14ac:dyDescent="0.2"/>
    <row r="494" spans="1:21" s="232" customFormat="1" ht="30" customHeight="1" x14ac:dyDescent="0.2"/>
    <row r="495" spans="1:21" s="232" customFormat="1" ht="20.100000000000001" customHeight="1" x14ac:dyDescent="0.2">
      <c r="A495" s="1005" t="str">
        <f>$A$1</f>
        <v>Circuit décathlon</v>
      </c>
      <c r="B495" s="1006"/>
      <c r="C495" s="1006"/>
      <c r="D495" s="1006"/>
      <c r="E495" s="1006"/>
      <c r="F495" s="1006"/>
      <c r="G495" s="1006"/>
      <c r="H495" s="1006"/>
      <c r="I495" s="1006"/>
      <c r="J495" s="1007"/>
      <c r="K495" s="425"/>
      <c r="L495" s="1005" t="str">
        <f>$A$1</f>
        <v>Circuit décathlon</v>
      </c>
      <c r="M495" s="1006"/>
      <c r="N495" s="1006"/>
      <c r="O495" s="1006"/>
      <c r="P495" s="1006"/>
      <c r="Q495" s="1006"/>
      <c r="R495" s="1006"/>
      <c r="S495" s="1006"/>
      <c r="T495" s="426"/>
      <c r="U495" s="449"/>
    </row>
    <row r="496" spans="1:21" s="232" customFormat="1" ht="15.75" x14ac:dyDescent="0.2">
      <c r="A496" s="425"/>
      <c r="B496" s="231"/>
      <c r="C496" s="231"/>
      <c r="D496" s="427" t="s">
        <v>83</v>
      </c>
      <c r="E496" s="474">
        <f>Rens!J31</f>
        <v>0</v>
      </c>
      <c r="F496" s="474"/>
      <c r="G496" s="231"/>
      <c r="H496" s="231"/>
      <c r="I496" s="231"/>
      <c r="J496" s="428"/>
      <c r="K496" s="425"/>
      <c r="L496" s="425"/>
      <c r="M496" s="231"/>
      <c r="N496" s="231"/>
      <c r="O496" s="427" t="s">
        <v>83</v>
      </c>
      <c r="P496" s="474">
        <f>Rens!J32</f>
        <v>0</v>
      </c>
      <c r="Q496" s="474"/>
      <c r="R496" s="231"/>
      <c r="S496" s="231"/>
      <c r="T496" s="231"/>
      <c r="U496" s="428"/>
    </row>
    <row r="497" spans="1:21" s="343" customFormat="1" ht="18.75" x14ac:dyDescent="0.2">
      <c r="A497" s="429" t="s">
        <v>84</v>
      </c>
      <c r="B497" s="430" t="str">
        <f>$B$3</f>
        <v>Minimes</v>
      </c>
      <c r="C497" s="345"/>
      <c r="D497" s="345"/>
      <c r="E497" s="345"/>
      <c r="F497" s="345"/>
      <c r="G497" s="345"/>
      <c r="H497" s="345"/>
      <c r="I497" s="345"/>
      <c r="J497" s="431"/>
      <c r="K497" s="432"/>
      <c r="L497" s="429" t="s">
        <v>84</v>
      </c>
      <c r="M497" s="430" t="str">
        <f>$B$3</f>
        <v>Minimes</v>
      </c>
      <c r="N497" s="345"/>
      <c r="O497" s="345"/>
      <c r="P497" s="345"/>
      <c r="Q497" s="345"/>
      <c r="R497" s="345"/>
      <c r="S497" s="345"/>
      <c r="T497" s="345"/>
      <c r="U497" s="431"/>
    </row>
    <row r="498" spans="1:21" s="343" customFormat="1" ht="18.75" x14ac:dyDescent="0.2">
      <c r="A498" s="997" t="str">
        <f>A468</f>
        <v>1/4 de Finale</v>
      </c>
      <c r="B498" s="998"/>
      <c r="C498" s="998"/>
      <c r="D498" s="998"/>
      <c r="E498" s="345"/>
      <c r="F498" s="345"/>
      <c r="G498" s="430" t="str">
        <f>Rens!I31</f>
        <v>E</v>
      </c>
      <c r="H498" s="430"/>
      <c r="I498" s="345"/>
      <c r="J498" s="431"/>
      <c r="K498" s="432"/>
      <c r="L498" s="997" t="str">
        <f>A468</f>
        <v>1/4 de Finale</v>
      </c>
      <c r="M498" s="998"/>
      <c r="N498" s="998"/>
      <c r="O498" s="998"/>
      <c r="P498" s="345"/>
      <c r="Q498" s="345"/>
      <c r="R498" s="466" t="str">
        <f>Rens!I32</f>
        <v>F</v>
      </c>
      <c r="S498" s="430"/>
      <c r="T498" s="466"/>
      <c r="U498" s="433"/>
    </row>
    <row r="499" spans="1:21" s="343" customFormat="1" ht="23.25" x14ac:dyDescent="0.2">
      <c r="A499" s="432"/>
      <c r="B499" s="434" t="str">
        <f>Tableau!P36</f>
        <v/>
      </c>
      <c r="C499" s="345"/>
      <c r="D499" s="345"/>
      <c r="E499" s="344" t="s">
        <v>178</v>
      </c>
      <c r="F499" s="234">
        <f>Rens!K31</f>
        <v>0</v>
      </c>
      <c r="G499" s="345"/>
      <c r="H499" s="345"/>
      <c r="I499" s="345"/>
      <c r="J499" s="431"/>
      <c r="K499" s="432"/>
      <c r="L499" s="432"/>
      <c r="M499" s="434" t="str">
        <f>Tableau!P32</f>
        <v/>
      </c>
      <c r="N499" s="345"/>
      <c r="O499" s="345"/>
      <c r="P499" s="344" t="s">
        <v>178</v>
      </c>
      <c r="Q499" s="234">
        <f>Rens!K32</f>
        <v>0</v>
      </c>
      <c r="R499" s="345"/>
      <c r="S499" s="345"/>
      <c r="T499" s="345"/>
      <c r="U499" s="431"/>
    </row>
    <row r="500" spans="1:21" s="442" customFormat="1" ht="15.75" x14ac:dyDescent="0.2">
      <c r="A500" s="435" t="s">
        <v>85</v>
      </c>
      <c r="B500" s="436" t="str">
        <f>IF(B499="","",VLOOKUP(B499,liste!$A$9:$G$145,2,FALSE))</f>
        <v/>
      </c>
      <c r="C500" s="437"/>
      <c r="D500" s="437"/>
      <c r="E500" s="437"/>
      <c r="F500" s="437"/>
      <c r="G500" s="437"/>
      <c r="H500" s="437"/>
      <c r="I500" s="438"/>
      <c r="J500" s="439"/>
      <c r="K500" s="440"/>
      <c r="L500" s="435" t="s">
        <v>85</v>
      </c>
      <c r="M500" s="436" t="str">
        <f>IF(M499="","",VLOOKUP(M499,liste!$A$9:$G$145,2,FALSE))</f>
        <v/>
      </c>
      <c r="N500" s="437"/>
      <c r="O500" s="437"/>
      <c r="P500" s="437"/>
      <c r="Q500" s="437"/>
      <c r="R500" s="437"/>
      <c r="S500" s="437"/>
      <c r="T500" s="437"/>
      <c r="U500" s="441"/>
    </row>
    <row r="501" spans="1:21" s="232" customFormat="1" ht="20.100000000000001" customHeight="1" x14ac:dyDescent="0.2">
      <c r="A501" s="425"/>
      <c r="D501" s="999" t="s">
        <v>19</v>
      </c>
      <c r="E501" s="1000"/>
      <c r="F501" s="1000"/>
      <c r="G501" s="1000"/>
      <c r="H501" s="1000"/>
      <c r="I501" s="1000"/>
      <c r="J501" s="1001"/>
      <c r="K501" s="425"/>
      <c r="L501" s="443"/>
      <c r="M501" s="444"/>
      <c r="N501" s="444"/>
      <c r="O501" s="1002" t="s">
        <v>19</v>
      </c>
      <c r="P501" s="1003"/>
      <c r="Q501" s="1003"/>
      <c r="R501" s="1003"/>
      <c r="S501" s="1003"/>
      <c r="T501" s="1003"/>
      <c r="U501" s="1004"/>
    </row>
    <row r="502" spans="1:21" s="232" customFormat="1" ht="20.100000000000001" customHeight="1" x14ac:dyDescent="0.2">
      <c r="A502" s="992" t="s">
        <v>86</v>
      </c>
      <c r="B502" s="993"/>
      <c r="C502" s="993"/>
      <c r="D502" s="467">
        <v>1</v>
      </c>
      <c r="E502" s="467">
        <v>2</v>
      </c>
      <c r="F502" s="467">
        <v>3</v>
      </c>
      <c r="G502" s="467">
        <v>4</v>
      </c>
      <c r="H502" s="467">
        <v>5</v>
      </c>
      <c r="I502" s="467">
        <v>6</v>
      </c>
      <c r="J502" s="467">
        <v>7</v>
      </c>
      <c r="K502" s="425"/>
      <c r="L502" s="992" t="s">
        <v>86</v>
      </c>
      <c r="M502" s="993"/>
      <c r="N502" s="993"/>
      <c r="O502" s="445">
        <v>1</v>
      </c>
      <c r="P502" s="445">
        <v>2</v>
      </c>
      <c r="Q502" s="445">
        <v>3</v>
      </c>
      <c r="R502" s="445">
        <v>4</v>
      </c>
      <c r="S502" s="446">
        <v>5</v>
      </c>
      <c r="T502" s="497">
        <v>6</v>
      </c>
      <c r="U502" s="446">
        <v>7</v>
      </c>
    </row>
    <row r="503" spans="1:21" s="232" customFormat="1" ht="20.100000000000001" customHeight="1" x14ac:dyDescent="0.2">
      <c r="A503" s="500"/>
      <c r="B503" s="501"/>
      <c r="C503" s="501"/>
      <c r="D503" s="994" t="s">
        <v>92</v>
      </c>
      <c r="E503" s="995"/>
      <c r="F503" s="995"/>
      <c r="G503" s="995"/>
      <c r="H503" s="995"/>
      <c r="I503" s="995"/>
      <c r="J503" s="996"/>
      <c r="K503" s="425"/>
      <c r="L503" s="500"/>
      <c r="M503" s="501"/>
      <c r="N503" s="501"/>
      <c r="O503" s="994" t="s">
        <v>92</v>
      </c>
      <c r="P503" s="995"/>
      <c r="Q503" s="995"/>
      <c r="R503" s="995"/>
      <c r="S503" s="995"/>
      <c r="T503" s="995"/>
      <c r="U503" s="996"/>
    </row>
    <row r="504" spans="1:21" s="232" customFormat="1" ht="18.75" x14ac:dyDescent="0.2">
      <c r="A504" s="498">
        <f>Tableau!AG31</f>
        <v>0</v>
      </c>
      <c r="C504" s="231"/>
      <c r="D504" s="448"/>
      <c r="E504" s="448"/>
      <c r="F504" s="448"/>
      <c r="G504" s="448"/>
      <c r="H504" s="448"/>
      <c r="I504" s="448"/>
      <c r="J504" s="448"/>
      <c r="K504" s="425"/>
      <c r="L504" s="498">
        <f>Tableau!AG41</f>
        <v>0</v>
      </c>
      <c r="M504" s="231"/>
      <c r="N504" s="231"/>
      <c r="O504" s="448"/>
      <c r="P504" s="448"/>
      <c r="Q504" s="448"/>
      <c r="R504" s="448"/>
      <c r="S504" s="448"/>
      <c r="T504" s="449"/>
      <c r="U504" s="448"/>
    </row>
    <row r="505" spans="1:21" s="232" customFormat="1" ht="20.100000000000001" customHeight="1" x14ac:dyDescent="0.2">
      <c r="A505" s="990" t="e">
        <f>IF(A504="","",VLOOKUP(A504,liste!$A$9:$G$145,2,FALSE))</f>
        <v>#N/A</v>
      </c>
      <c r="B505" s="991" t="e">
        <v>#N/A</v>
      </c>
      <c r="C505" s="991" t="e">
        <v>#N/A</v>
      </c>
      <c r="D505" s="447"/>
      <c r="E505" s="447"/>
      <c r="F505" s="447"/>
      <c r="G505" s="447"/>
      <c r="H505" s="447"/>
      <c r="I505" s="447"/>
      <c r="J505" s="447"/>
      <c r="K505" s="425"/>
      <c r="L505" s="990" t="e">
        <f>IF(L504="","",VLOOKUP(L504,liste!$A$9:$G$145,2,FALSE))</f>
        <v>#N/A</v>
      </c>
      <c r="M505" s="991" t="e">
        <v>#N/A</v>
      </c>
      <c r="N505" s="991" t="e">
        <v>#N/A</v>
      </c>
      <c r="O505" s="447"/>
      <c r="P505" s="447"/>
      <c r="Q505" s="447"/>
      <c r="R505" s="447"/>
      <c r="S505" s="447"/>
      <c r="T505" s="428"/>
      <c r="U505" s="447"/>
    </row>
    <row r="506" spans="1:21" s="232" customFormat="1" ht="20.100000000000001" customHeight="1" x14ac:dyDescent="0.2">
      <c r="A506" s="440"/>
      <c r="B506" s="438"/>
      <c r="C506" s="450" t="e">
        <f>IF(A504="","",VLOOKUP(A504,liste!$A$9:$G$145,4,FALSE))</f>
        <v>#N/A</v>
      </c>
      <c r="D506" s="451"/>
      <c r="E506" s="451"/>
      <c r="F506" s="451"/>
      <c r="G506" s="451"/>
      <c r="H506" s="451"/>
      <c r="I506" s="451"/>
      <c r="J506" s="451"/>
      <c r="K506" s="425"/>
      <c r="L506" s="440"/>
      <c r="M506" s="438"/>
      <c r="N506" s="450" t="e">
        <f>IF(L504="","",VLOOKUP(L504,liste!$A$9:$G$145,4,FALSE))</f>
        <v>#N/A</v>
      </c>
      <c r="O506" s="451"/>
      <c r="P506" s="451"/>
      <c r="Q506" s="451"/>
      <c r="R506" s="451"/>
      <c r="S506" s="451"/>
      <c r="T506" s="452"/>
      <c r="U506" s="451"/>
    </row>
    <row r="507" spans="1:21" s="232" customFormat="1" ht="15.75" x14ac:dyDescent="0.2">
      <c r="A507" s="468" t="e">
        <f>IF(A504="","",VLOOKUP(A504,liste!$A$9:$G$145,3,FALSE))</f>
        <v>#N/A</v>
      </c>
      <c r="B507" s="438"/>
      <c r="C507" s="438"/>
      <c r="D507" s="455"/>
      <c r="E507" s="455"/>
      <c r="F507" s="455"/>
      <c r="G507" s="455"/>
      <c r="H507" s="455"/>
      <c r="I507" s="455"/>
      <c r="J507" s="455"/>
      <c r="K507" s="425"/>
      <c r="L507" s="468" t="e">
        <f>IF(L504="","",VLOOKUP(L504,liste!$A$9:$G$145,3,FALSE))</f>
        <v>#N/A</v>
      </c>
      <c r="M507" s="438"/>
      <c r="N507" s="438"/>
      <c r="O507" s="454"/>
      <c r="P507" s="454"/>
      <c r="Q507" s="454"/>
      <c r="R507" s="454"/>
      <c r="S507" s="454"/>
      <c r="T507" s="456"/>
      <c r="U507" s="454"/>
    </row>
    <row r="508" spans="1:21" s="232" customFormat="1" ht="12.75" x14ac:dyDescent="0.2">
      <c r="A508" s="425"/>
      <c r="B508" s="230" t="s">
        <v>9</v>
      </c>
      <c r="C508" s="231"/>
      <c r="D508" s="458"/>
      <c r="E508" s="458"/>
      <c r="F508" s="458"/>
      <c r="G508" s="458"/>
      <c r="H508" s="458"/>
      <c r="I508" s="458"/>
      <c r="J508" s="458"/>
      <c r="K508" s="425"/>
      <c r="L508" s="425"/>
      <c r="M508" s="230" t="s">
        <v>9</v>
      </c>
      <c r="N508" s="231"/>
      <c r="O508" s="457"/>
      <c r="P508" s="457"/>
      <c r="Q508" s="457"/>
      <c r="R508" s="457"/>
      <c r="S508" s="457"/>
      <c r="T508" s="459"/>
      <c r="U508" s="457"/>
    </row>
    <row r="509" spans="1:21" s="232" customFormat="1" ht="18.75" x14ac:dyDescent="0.2">
      <c r="A509" s="498">
        <f>Tableau!AG37</f>
        <v>0</v>
      </c>
      <c r="B509" s="469"/>
      <c r="C509" s="231"/>
      <c r="D509" s="448"/>
      <c r="E509" s="448"/>
      <c r="F509" s="448"/>
      <c r="G509" s="448"/>
      <c r="H509" s="448"/>
      <c r="I509" s="448"/>
      <c r="J509" s="448"/>
      <c r="K509" s="425"/>
      <c r="L509" s="498">
        <f>Tableau!AG47</f>
        <v>0</v>
      </c>
      <c r="M509" s="231"/>
      <c r="N509" s="231"/>
      <c r="O509" s="448"/>
      <c r="P509" s="448"/>
      <c r="Q509" s="448"/>
      <c r="R509" s="448"/>
      <c r="S509" s="448"/>
      <c r="T509" s="449"/>
      <c r="U509" s="448"/>
    </row>
    <row r="510" spans="1:21" s="232" customFormat="1" ht="20.100000000000001" customHeight="1" x14ac:dyDescent="0.2">
      <c r="A510" s="990" t="e">
        <f>IF(A509="","",VLOOKUP(A509,liste!$A$9:$G$145,2,FALSE))</f>
        <v>#N/A</v>
      </c>
      <c r="B510" s="991" t="e">
        <v>#N/A</v>
      </c>
      <c r="C510" s="991" t="e">
        <v>#N/A</v>
      </c>
      <c r="D510" s="447"/>
      <c r="E510" s="447"/>
      <c r="F510" s="447"/>
      <c r="G510" s="447"/>
      <c r="H510" s="447"/>
      <c r="I510" s="447"/>
      <c r="J510" s="447"/>
      <c r="K510" s="425"/>
      <c r="L510" s="990" t="e">
        <f>IF(L509="","",VLOOKUP(L509,liste!$A$9:$G$145,2,FALSE))</f>
        <v>#N/A</v>
      </c>
      <c r="M510" s="991" t="e">
        <v>#N/A</v>
      </c>
      <c r="N510" s="991" t="e">
        <v>#N/A</v>
      </c>
      <c r="O510" s="447"/>
      <c r="P510" s="447"/>
      <c r="Q510" s="447"/>
      <c r="R510" s="447"/>
      <c r="S510" s="447"/>
      <c r="T510" s="428"/>
      <c r="U510" s="447"/>
    </row>
    <row r="511" spans="1:21" s="232" customFormat="1" ht="20.100000000000001" customHeight="1" x14ac:dyDescent="0.2">
      <c r="A511" s="440"/>
      <c r="B511" s="438"/>
      <c r="C511" s="450" t="e">
        <f>IF(A509="","",VLOOKUP(A509,liste!$A$9:$G$145,4,FALSE))</f>
        <v>#N/A</v>
      </c>
      <c r="D511" s="451"/>
      <c r="E511" s="451"/>
      <c r="F511" s="451"/>
      <c r="G511" s="451"/>
      <c r="H511" s="451"/>
      <c r="I511" s="451"/>
      <c r="J511" s="451"/>
      <c r="K511" s="425"/>
      <c r="L511" s="440"/>
      <c r="M511" s="438"/>
      <c r="N511" s="450" t="e">
        <f>IF(L509="","",VLOOKUP(L509,liste!$A$9:$G$145,4,FALSE))</f>
        <v>#N/A</v>
      </c>
      <c r="O511" s="451"/>
      <c r="P511" s="451"/>
      <c r="Q511" s="451"/>
      <c r="R511" s="451"/>
      <c r="S511" s="451"/>
      <c r="T511" s="452"/>
      <c r="U511" s="451"/>
    </row>
    <row r="512" spans="1:21" s="232" customFormat="1" ht="15.75" x14ac:dyDescent="0.2">
      <c r="A512" s="473" t="e">
        <f>IF(A509="","",VLOOKUP(A509,liste!$A$9:$G$145,3,FALSE))</f>
        <v>#N/A</v>
      </c>
      <c r="B512" s="438"/>
      <c r="C512" s="438"/>
      <c r="D512" s="455"/>
      <c r="E512" s="455"/>
      <c r="F512" s="455"/>
      <c r="G512" s="455"/>
      <c r="H512" s="455"/>
      <c r="I512" s="455"/>
      <c r="J512" s="455"/>
      <c r="K512" s="425"/>
      <c r="L512" s="468" t="e">
        <f>IF(L509="","",VLOOKUP(L509,liste!$A$9:$G$145,3,FALSE))</f>
        <v>#N/A</v>
      </c>
      <c r="M512" s="438"/>
      <c r="N512" s="438"/>
      <c r="O512" s="454"/>
      <c r="P512" s="454"/>
      <c r="Q512" s="454"/>
      <c r="R512" s="454"/>
      <c r="S512" s="454"/>
      <c r="T512" s="456"/>
      <c r="U512" s="454"/>
    </row>
    <row r="513" spans="1:21" s="232" customFormat="1" ht="12.75" x14ac:dyDescent="0.2">
      <c r="A513" s="425"/>
      <c r="B513" s="231"/>
      <c r="C513" s="231"/>
      <c r="D513" s="458"/>
      <c r="E513" s="458"/>
      <c r="F513" s="458"/>
      <c r="G513" s="458"/>
      <c r="H513" s="458"/>
      <c r="I513" s="458"/>
      <c r="J513" s="458"/>
      <c r="K513" s="425"/>
      <c r="L513" s="425"/>
      <c r="M513" s="231"/>
      <c r="N513" s="231"/>
      <c r="O513" s="457"/>
      <c r="P513" s="457"/>
      <c r="Q513" s="457"/>
      <c r="R513" s="457"/>
      <c r="S513" s="457"/>
      <c r="T513" s="459"/>
      <c r="U513" s="457"/>
    </row>
    <row r="514" spans="1:21" s="232" customFormat="1" ht="12.75" x14ac:dyDescent="0.2">
      <c r="A514" s="425"/>
      <c r="B514" s="231"/>
      <c r="C514" s="231"/>
      <c r="D514" s="231"/>
      <c r="E514" s="231"/>
      <c r="F514" s="231"/>
      <c r="G514" s="231"/>
      <c r="H514" s="231"/>
      <c r="I514" s="231"/>
      <c r="J514" s="428"/>
      <c r="K514" s="425"/>
      <c r="L514" s="425"/>
      <c r="M514" s="231"/>
      <c r="N514" s="231"/>
      <c r="O514" s="231"/>
      <c r="P514" s="231"/>
      <c r="Q514" s="231"/>
      <c r="R514" s="231"/>
      <c r="S514" s="231"/>
      <c r="T514" s="231"/>
      <c r="U514" s="428"/>
    </row>
    <row r="515" spans="1:21" s="232" customFormat="1" ht="20.100000000000001" customHeight="1" x14ac:dyDescent="0.2">
      <c r="A515" s="988" t="s">
        <v>90</v>
      </c>
      <c r="B515" s="989"/>
      <c r="C515" s="989"/>
      <c r="D515" s="461" t="s">
        <v>77</v>
      </c>
      <c r="E515" s="461" t="s">
        <v>87</v>
      </c>
      <c r="F515" s="461" t="s">
        <v>88</v>
      </c>
      <c r="G515" s="231"/>
      <c r="H515" s="231"/>
      <c r="I515" s="231"/>
      <c r="J515" s="428"/>
      <c r="K515" s="425"/>
      <c r="L515" s="988" t="s">
        <v>90</v>
      </c>
      <c r="M515" s="989"/>
      <c r="N515" s="989"/>
      <c r="O515" s="461" t="s">
        <v>77</v>
      </c>
      <c r="P515" s="461" t="s">
        <v>87</v>
      </c>
      <c r="Q515" s="461" t="s">
        <v>88</v>
      </c>
      <c r="R515" s="231"/>
      <c r="S515" s="231"/>
      <c r="T515" s="231"/>
      <c r="U515" s="428"/>
    </row>
    <row r="516" spans="1:21" s="232" customFormat="1" ht="20.100000000000001" customHeight="1" x14ac:dyDescent="0.2">
      <c r="A516" s="462" t="e">
        <f>A505</f>
        <v>#N/A</v>
      </c>
      <c r="B516" s="426"/>
      <c r="C516" s="449"/>
      <c r="D516" s="448"/>
      <c r="E516" s="448"/>
      <c r="F516" s="448"/>
      <c r="G516" s="231"/>
      <c r="H516" s="231"/>
      <c r="I516" s="231"/>
      <c r="J516" s="428"/>
      <c r="K516" s="425"/>
      <c r="L516" s="462" t="e">
        <f>L505</f>
        <v>#N/A</v>
      </c>
      <c r="M516" s="426"/>
      <c r="N516" s="449"/>
      <c r="O516" s="448"/>
      <c r="P516" s="448"/>
      <c r="Q516" s="448"/>
      <c r="R516" s="231"/>
      <c r="S516" s="231"/>
      <c r="T516" s="231"/>
      <c r="U516" s="428"/>
    </row>
    <row r="517" spans="1:21" s="232" customFormat="1" ht="20.100000000000001" customHeight="1" x14ac:dyDescent="0.2">
      <c r="A517" s="463"/>
      <c r="B517" s="233"/>
      <c r="C517" s="452"/>
      <c r="D517" s="451"/>
      <c r="E517" s="451"/>
      <c r="F517" s="451"/>
      <c r="G517" s="231"/>
      <c r="H517" s="231"/>
      <c r="I517" s="231"/>
      <c r="J517" s="428"/>
      <c r="K517" s="425"/>
      <c r="L517" s="463"/>
      <c r="M517" s="233"/>
      <c r="N517" s="452"/>
      <c r="O517" s="451"/>
      <c r="P517" s="451"/>
      <c r="Q517" s="451"/>
      <c r="R517" s="231"/>
      <c r="S517" s="231"/>
      <c r="T517" s="231"/>
      <c r="U517" s="428"/>
    </row>
    <row r="518" spans="1:21" s="232" customFormat="1" ht="20.100000000000001" customHeight="1" x14ac:dyDescent="0.2">
      <c r="A518" s="462" t="e">
        <f>A510</f>
        <v>#N/A</v>
      </c>
      <c r="B518" s="426"/>
      <c r="C518" s="449"/>
      <c r="D518" s="448"/>
      <c r="E518" s="448"/>
      <c r="F518" s="448"/>
      <c r="G518" s="231"/>
      <c r="H518" s="231"/>
      <c r="I518" s="231"/>
      <c r="J518" s="428"/>
      <c r="K518" s="425"/>
      <c r="L518" s="462" t="e">
        <f>L510</f>
        <v>#N/A</v>
      </c>
      <c r="M518" s="426"/>
      <c r="N518" s="449"/>
      <c r="O518" s="448"/>
      <c r="P518" s="448"/>
      <c r="Q518" s="448"/>
      <c r="R518" s="231"/>
      <c r="S518" s="231"/>
      <c r="T518" s="231"/>
      <c r="U518" s="428"/>
    </row>
    <row r="519" spans="1:21" s="232" customFormat="1" ht="20.100000000000001" customHeight="1" x14ac:dyDescent="0.2">
      <c r="A519" s="463"/>
      <c r="B519" s="233"/>
      <c r="C519" s="452"/>
      <c r="D519" s="451"/>
      <c r="E519" s="451"/>
      <c r="F519" s="451"/>
      <c r="G519" s="231"/>
      <c r="H519" s="231"/>
      <c r="I519" s="231"/>
      <c r="J519" s="428"/>
      <c r="K519" s="425"/>
      <c r="L519" s="463"/>
      <c r="M519" s="233"/>
      <c r="N519" s="452"/>
      <c r="O519" s="451"/>
      <c r="P519" s="451"/>
      <c r="Q519" s="451"/>
      <c r="R519" s="231"/>
      <c r="S519" s="231"/>
      <c r="T519" s="231"/>
      <c r="U519" s="428"/>
    </row>
    <row r="520" spans="1:21" s="232" customFormat="1" ht="12.75" x14ac:dyDescent="0.2">
      <c r="A520" s="464" t="s">
        <v>91</v>
      </c>
      <c r="B520" s="231"/>
      <c r="C520" s="231"/>
      <c r="D520" s="231"/>
      <c r="E520" s="231"/>
      <c r="F520" s="231"/>
      <c r="G520" s="231"/>
      <c r="H520" s="231"/>
      <c r="I520" s="231"/>
      <c r="J520" s="428"/>
      <c r="K520" s="425"/>
      <c r="L520" s="464" t="s">
        <v>91</v>
      </c>
      <c r="M520" s="231"/>
      <c r="N520" s="231"/>
      <c r="O520" s="231"/>
      <c r="P520" s="231"/>
      <c r="Q520" s="231"/>
      <c r="R520" s="231"/>
      <c r="S520" s="231"/>
      <c r="T520" s="231"/>
      <c r="U520" s="428"/>
    </row>
    <row r="521" spans="1:21" s="232" customFormat="1" ht="12.75" x14ac:dyDescent="0.2">
      <c r="A521" s="425"/>
      <c r="B521" s="231"/>
      <c r="C521" s="231"/>
      <c r="D521" s="231"/>
      <c r="E521" s="231"/>
      <c r="F521" s="231"/>
      <c r="G521" s="231"/>
      <c r="H521" s="231"/>
      <c r="I521" s="231"/>
      <c r="J521" s="428"/>
      <c r="K521" s="425"/>
      <c r="L521" s="425"/>
      <c r="M521" s="231"/>
      <c r="N521" s="231"/>
      <c r="O521" s="231"/>
      <c r="P521" s="231"/>
      <c r="Q521" s="231"/>
      <c r="R521" s="231"/>
      <c r="S521" s="231"/>
      <c r="T521" s="231"/>
      <c r="U521" s="428"/>
    </row>
    <row r="522" spans="1:21" s="232" customFormat="1" ht="12.75" x14ac:dyDescent="0.2">
      <c r="A522" s="465" t="s">
        <v>89</v>
      </c>
      <c r="B522" s="233"/>
      <c r="C522" s="233"/>
      <c r="D522" s="233"/>
      <c r="E522" s="233"/>
      <c r="F522" s="233"/>
      <c r="G522" s="233"/>
      <c r="H522" s="233"/>
      <c r="I522" s="233"/>
      <c r="J522" s="452"/>
      <c r="K522" s="425"/>
      <c r="L522" s="465" t="s">
        <v>89</v>
      </c>
      <c r="M522" s="233"/>
      <c r="N522" s="233"/>
      <c r="O522" s="233"/>
      <c r="P522" s="233"/>
      <c r="Q522" s="233"/>
      <c r="R522" s="233"/>
      <c r="S522" s="233"/>
      <c r="T522" s="233"/>
      <c r="U522" s="452"/>
    </row>
    <row r="523" spans="1:21" s="232" customFormat="1" ht="15.75" customHeight="1" x14ac:dyDescent="0.2">
      <c r="A523" s="1005" t="str">
        <f>$A$1</f>
        <v>Circuit décathlon</v>
      </c>
      <c r="B523" s="1006"/>
      <c r="C523" s="1006"/>
      <c r="D523" s="1006"/>
      <c r="E523" s="1006"/>
      <c r="F523" s="1006"/>
      <c r="G523" s="1006"/>
      <c r="H523" s="1006"/>
      <c r="I523" s="1006"/>
      <c r="J523" s="1007"/>
      <c r="K523" s="425"/>
      <c r="L523" s="1005" t="str">
        <f>$A$1</f>
        <v>Circuit décathlon</v>
      </c>
      <c r="M523" s="1006"/>
      <c r="N523" s="1006"/>
      <c r="O523" s="1006"/>
      <c r="P523" s="1006"/>
      <c r="Q523" s="1006"/>
      <c r="R523" s="1006"/>
      <c r="S523" s="1006"/>
      <c r="T523" s="426"/>
      <c r="U523" s="449"/>
    </row>
    <row r="524" spans="1:21" s="232" customFormat="1" ht="15.75" x14ac:dyDescent="0.2">
      <c r="A524" s="425"/>
      <c r="B524" s="231"/>
      <c r="C524" s="231"/>
      <c r="D524" s="427" t="s">
        <v>83</v>
      </c>
      <c r="E524" s="474">
        <f>Rens!J34</f>
        <v>0</v>
      </c>
      <c r="F524" s="231"/>
      <c r="G524" s="231"/>
      <c r="H524" s="231"/>
      <c r="I524" s="231"/>
      <c r="J524" s="428"/>
      <c r="K524" s="425"/>
      <c r="L524" s="425"/>
      <c r="M524" s="231"/>
      <c r="N524" s="231"/>
      <c r="O524" s="427" t="s">
        <v>83</v>
      </c>
      <c r="P524" s="474">
        <f>Rens!J35</f>
        <v>0</v>
      </c>
      <c r="Q524" s="231"/>
      <c r="R524" s="231"/>
      <c r="S524" s="231"/>
      <c r="T524" s="231"/>
      <c r="U524" s="428"/>
    </row>
    <row r="525" spans="1:21" s="232" customFormat="1" ht="18.75" x14ac:dyDescent="0.2">
      <c r="A525" s="429" t="s">
        <v>84</v>
      </c>
      <c r="B525" s="430" t="str">
        <f>$B$3</f>
        <v>Minimes</v>
      </c>
      <c r="C525" s="231"/>
      <c r="D525" s="231"/>
      <c r="E525" s="231"/>
      <c r="F525" s="231"/>
      <c r="G525" s="231"/>
      <c r="H525" s="231"/>
      <c r="I525" s="231"/>
      <c r="J525" s="428"/>
      <c r="K525" s="425"/>
      <c r="L525" s="429" t="s">
        <v>84</v>
      </c>
      <c r="M525" s="430" t="str">
        <f>$B$3</f>
        <v>Minimes</v>
      </c>
      <c r="N525" s="231"/>
      <c r="O525" s="231"/>
      <c r="P525" s="231"/>
      <c r="Q525" s="231"/>
      <c r="R525" s="231"/>
      <c r="S525" s="231"/>
      <c r="T525" s="231"/>
      <c r="U525" s="428"/>
    </row>
    <row r="526" spans="1:21" s="232" customFormat="1" ht="18.75" x14ac:dyDescent="0.2">
      <c r="A526" s="997" t="s">
        <v>208</v>
      </c>
      <c r="B526" s="998"/>
      <c r="C526" s="998"/>
      <c r="D526" s="998"/>
      <c r="E526" s="231"/>
      <c r="F526" s="231"/>
      <c r="G526" s="499" t="str">
        <f>Rens!I34</f>
        <v>battu G/H</v>
      </c>
      <c r="H526" s="231"/>
      <c r="I526" s="231"/>
      <c r="J526" s="428"/>
      <c r="K526" s="425"/>
      <c r="L526" s="997" t="str">
        <f>A526</f>
        <v>Places 9 à 16</v>
      </c>
      <c r="M526" s="998"/>
      <c r="N526" s="998"/>
      <c r="O526" s="998"/>
      <c r="P526" s="231"/>
      <c r="Q526" s="231"/>
      <c r="R526" s="499" t="str">
        <f>Rens!I35</f>
        <v>battu I/J</v>
      </c>
      <c r="S526" s="231"/>
      <c r="T526" s="499"/>
      <c r="U526" s="428"/>
    </row>
    <row r="527" spans="1:21" s="343" customFormat="1" ht="23.25" x14ac:dyDescent="0.2">
      <c r="A527" s="432"/>
      <c r="B527" s="434" t="str">
        <f>Tableau!P26</f>
        <v/>
      </c>
      <c r="C527" s="345"/>
      <c r="D527" s="345"/>
      <c r="E527" s="344" t="s">
        <v>178</v>
      </c>
      <c r="F527" s="234">
        <f>Rens!K34</f>
        <v>0</v>
      </c>
      <c r="G527" s="345"/>
      <c r="H527" s="345"/>
      <c r="I527" s="345"/>
      <c r="J527" s="431"/>
      <c r="K527" s="432"/>
      <c r="L527" s="432"/>
      <c r="M527" s="434" t="str">
        <f>Tableau!P22</f>
        <v/>
      </c>
      <c r="N527" s="345"/>
      <c r="O527" s="345"/>
      <c r="P527" s="344" t="s">
        <v>178</v>
      </c>
      <c r="Q527" s="234">
        <f>Rens!K35</f>
        <v>0</v>
      </c>
      <c r="R527" s="345"/>
      <c r="S527" s="345"/>
      <c r="T527" s="345"/>
      <c r="U527" s="431"/>
    </row>
    <row r="528" spans="1:21" s="232" customFormat="1" ht="15.75" x14ac:dyDescent="0.2">
      <c r="A528" s="470" t="s">
        <v>85</v>
      </c>
      <c r="B528" s="436" t="str">
        <f>IF(B527="","",VLOOKUP(B527,liste!$A$9:$G$145,2,FALSE))</f>
        <v/>
      </c>
      <c r="C528" s="471"/>
      <c r="D528" s="471"/>
      <c r="E528" s="471"/>
      <c r="F528" s="471"/>
      <c r="G528" s="471"/>
      <c r="H528" s="471"/>
      <c r="I528" s="231"/>
      <c r="J528" s="428"/>
      <c r="K528" s="425"/>
      <c r="L528" s="470" t="s">
        <v>85</v>
      </c>
      <c r="M528" s="436" t="str">
        <f>IF(M527="","",VLOOKUP(M527,liste!$A$9:$G$145,2,FALSE))</f>
        <v/>
      </c>
      <c r="N528" s="471"/>
      <c r="O528" s="471"/>
      <c r="P528" s="471"/>
      <c r="Q528" s="471"/>
      <c r="R528" s="471"/>
      <c r="S528" s="471"/>
      <c r="T528" s="471"/>
      <c r="U528" s="472"/>
    </row>
    <row r="529" spans="1:21" s="232" customFormat="1" ht="20.100000000000001" customHeight="1" x14ac:dyDescent="0.2">
      <c r="A529" s="425"/>
      <c r="B529" s="231"/>
      <c r="C529" s="231"/>
      <c r="D529" s="999" t="s">
        <v>19</v>
      </c>
      <c r="E529" s="1000"/>
      <c r="F529" s="1000"/>
      <c r="G529" s="1000"/>
      <c r="H529" s="1000"/>
      <c r="I529" s="1000"/>
      <c r="J529" s="1001"/>
      <c r="K529" s="425"/>
      <c r="L529" s="443"/>
      <c r="M529" s="444"/>
      <c r="N529" s="444"/>
      <c r="O529" s="1002" t="s">
        <v>19</v>
      </c>
      <c r="P529" s="1003"/>
      <c r="Q529" s="1003"/>
      <c r="R529" s="1003"/>
      <c r="S529" s="1003"/>
      <c r="T529" s="1003"/>
      <c r="U529" s="1004"/>
    </row>
    <row r="530" spans="1:21" s="232" customFormat="1" ht="20.100000000000001" customHeight="1" x14ac:dyDescent="0.2">
      <c r="A530" s="992" t="s">
        <v>86</v>
      </c>
      <c r="B530" s="993"/>
      <c r="C530" s="993"/>
      <c r="D530" s="467">
        <v>1</v>
      </c>
      <c r="E530" s="467">
        <v>2</v>
      </c>
      <c r="F530" s="467">
        <v>3</v>
      </c>
      <c r="G530" s="467">
        <v>4</v>
      </c>
      <c r="H530" s="467">
        <v>5</v>
      </c>
      <c r="I530" s="467">
        <v>6</v>
      </c>
      <c r="J530" s="467">
        <v>7</v>
      </c>
      <c r="K530" s="425"/>
      <c r="L530" s="992" t="s">
        <v>86</v>
      </c>
      <c r="M530" s="993"/>
      <c r="N530" s="993"/>
      <c r="O530" s="445">
        <v>1</v>
      </c>
      <c r="P530" s="445">
        <v>2</v>
      </c>
      <c r="Q530" s="445">
        <v>3</v>
      </c>
      <c r="R530" s="445">
        <v>4</v>
      </c>
      <c r="S530" s="446">
        <v>5</v>
      </c>
      <c r="T530" s="497">
        <v>6</v>
      </c>
      <c r="U530" s="446">
        <v>7</v>
      </c>
    </row>
    <row r="531" spans="1:21" s="232" customFormat="1" ht="20.100000000000001" customHeight="1" x14ac:dyDescent="0.2">
      <c r="A531" s="500"/>
      <c r="B531" s="501"/>
      <c r="C531" s="501"/>
      <c r="D531" s="994" t="s">
        <v>92</v>
      </c>
      <c r="E531" s="995"/>
      <c r="F531" s="995"/>
      <c r="G531" s="995"/>
      <c r="H531" s="995"/>
      <c r="I531" s="995"/>
      <c r="J531" s="996"/>
      <c r="K531" s="425"/>
      <c r="L531" s="500"/>
      <c r="M531" s="501"/>
      <c r="N531" s="501"/>
      <c r="O531" s="994" t="s">
        <v>92</v>
      </c>
      <c r="P531" s="995"/>
      <c r="Q531" s="995"/>
      <c r="R531" s="995"/>
      <c r="S531" s="995"/>
      <c r="T531" s="995"/>
      <c r="U531" s="996"/>
    </row>
    <row r="532" spans="1:21" s="232" customFormat="1" ht="18.75" x14ac:dyDescent="0.2">
      <c r="A532" s="498" t="str">
        <f>Tableau!AM76</f>
        <v/>
      </c>
      <c r="B532" s="231"/>
      <c r="C532" s="231"/>
      <c r="D532" s="447"/>
      <c r="E532" s="447"/>
      <c r="F532" s="447"/>
      <c r="G532" s="447"/>
      <c r="H532" s="447"/>
      <c r="I532" s="447"/>
      <c r="J532" s="447"/>
      <c r="K532" s="425"/>
      <c r="L532" s="498" t="str">
        <f>Tableau!AM80</f>
        <v/>
      </c>
      <c r="M532" s="231"/>
      <c r="N532" s="231"/>
      <c r="O532" s="448"/>
      <c r="P532" s="448"/>
      <c r="Q532" s="448"/>
      <c r="R532" s="448"/>
      <c r="S532" s="448"/>
      <c r="T532" s="449"/>
      <c r="U532" s="448"/>
    </row>
    <row r="533" spans="1:21" s="232" customFormat="1" ht="20.100000000000001" customHeight="1" x14ac:dyDescent="0.2">
      <c r="A533" s="990" t="str">
        <f>IF(A532="","",VLOOKUP(A532,liste!$A$9:$G$145,2,FALSE))</f>
        <v/>
      </c>
      <c r="B533" s="991" t="s">
        <v>288</v>
      </c>
      <c r="C533" s="991" t="s">
        <v>288</v>
      </c>
      <c r="D533" s="447"/>
      <c r="E533" s="447"/>
      <c r="F533" s="447"/>
      <c r="G533" s="447"/>
      <c r="H533" s="447"/>
      <c r="I533" s="447"/>
      <c r="J533" s="447"/>
      <c r="K533" s="425"/>
      <c r="L533" s="990" t="str">
        <f>IF(L532="","",VLOOKUP(L532,liste!$A$9:$G$145,2,FALSE))</f>
        <v/>
      </c>
      <c r="M533" s="991" t="s">
        <v>288</v>
      </c>
      <c r="N533" s="991" t="s">
        <v>288</v>
      </c>
      <c r="O533" s="447"/>
      <c r="P533" s="447"/>
      <c r="Q533" s="447"/>
      <c r="R533" s="447"/>
      <c r="S533" s="447"/>
      <c r="T533" s="428"/>
      <c r="U533" s="447"/>
    </row>
    <row r="534" spans="1:21" s="232" customFormat="1" ht="20.100000000000001" customHeight="1" x14ac:dyDescent="0.2">
      <c r="A534" s="440"/>
      <c r="B534" s="438"/>
      <c r="C534" s="450" t="str">
        <f>IF(A532="","",VLOOKUP(A532,liste!$A$9:$G$145,4,FALSE))</f>
        <v/>
      </c>
      <c r="D534" s="451"/>
      <c r="E534" s="451"/>
      <c r="F534" s="451"/>
      <c r="G534" s="451"/>
      <c r="H534" s="451"/>
      <c r="I534" s="451"/>
      <c r="J534" s="451"/>
      <c r="K534" s="425"/>
      <c r="L534" s="440"/>
      <c r="M534" s="438"/>
      <c r="N534" s="450" t="str">
        <f>IF(L532="","",VLOOKUP(L532,liste!$A$9:$G$145,4,FALSE))</f>
        <v/>
      </c>
      <c r="O534" s="451"/>
      <c r="P534" s="451"/>
      <c r="Q534" s="451"/>
      <c r="R534" s="451"/>
      <c r="S534" s="451"/>
      <c r="T534" s="452"/>
      <c r="U534" s="451"/>
    </row>
    <row r="535" spans="1:21" s="232" customFormat="1" ht="15.75" x14ac:dyDescent="0.2">
      <c r="A535" s="453" t="str">
        <f>IF(A532="","",VLOOKUP(A532,liste!$A$9:$G$145,3,FALSE))</f>
        <v/>
      </c>
      <c r="B535" s="438"/>
      <c r="C535" s="438"/>
      <c r="D535" s="455"/>
      <c r="E535" s="455"/>
      <c r="F535" s="455"/>
      <c r="G535" s="455"/>
      <c r="H535" s="455"/>
      <c r="I535" s="455"/>
      <c r="J535" s="455"/>
      <c r="K535" s="425"/>
      <c r="L535" s="453" t="str">
        <f>IF(L532="","",VLOOKUP(L532,liste!$A$9:$G$145,3,FALSE))</f>
        <v/>
      </c>
      <c r="M535" s="438"/>
      <c r="N535" s="438"/>
      <c r="O535" s="454"/>
      <c r="P535" s="454"/>
      <c r="Q535" s="454"/>
      <c r="R535" s="454"/>
      <c r="S535" s="454"/>
      <c r="T535" s="456"/>
      <c r="U535" s="454"/>
    </row>
    <row r="536" spans="1:21" s="232" customFormat="1" ht="12.75" x14ac:dyDescent="0.2">
      <c r="A536" s="425"/>
      <c r="B536" s="230" t="s">
        <v>9</v>
      </c>
      <c r="C536" s="231"/>
      <c r="D536" s="458"/>
      <c r="E536" s="458"/>
      <c r="F536" s="458"/>
      <c r="G536" s="458"/>
      <c r="H536" s="458"/>
      <c r="I536" s="458"/>
      <c r="J536" s="458"/>
      <c r="K536" s="425"/>
      <c r="L536" s="425"/>
      <c r="M536" s="230" t="s">
        <v>9</v>
      </c>
      <c r="N536" s="231"/>
      <c r="O536" s="457"/>
      <c r="P536" s="457"/>
      <c r="Q536" s="457"/>
      <c r="R536" s="457"/>
      <c r="S536" s="457"/>
      <c r="T536" s="459"/>
      <c r="U536" s="457"/>
    </row>
    <row r="537" spans="1:21" s="232" customFormat="1" ht="18.75" x14ac:dyDescent="0.2">
      <c r="A537" s="498" t="str">
        <f>Tableau!AM78</f>
        <v/>
      </c>
      <c r="B537" s="231"/>
      <c r="C537" s="231"/>
      <c r="D537" s="448"/>
      <c r="E537" s="448"/>
      <c r="F537" s="448"/>
      <c r="G537" s="448"/>
      <c r="H537" s="448"/>
      <c r="I537" s="448"/>
      <c r="J537" s="448"/>
      <c r="K537" s="425"/>
      <c r="L537" s="498" t="str">
        <f>Tableau!AM82</f>
        <v/>
      </c>
      <c r="M537" s="231"/>
      <c r="N537" s="231"/>
      <c r="O537" s="448"/>
      <c r="P537" s="448"/>
      <c r="Q537" s="448"/>
      <c r="R537" s="448"/>
      <c r="S537" s="448"/>
      <c r="T537" s="449"/>
      <c r="U537" s="448"/>
    </row>
    <row r="538" spans="1:21" s="232" customFormat="1" ht="20.100000000000001" customHeight="1" x14ac:dyDescent="0.2">
      <c r="A538" s="990" t="str">
        <f>IF(A537="","",VLOOKUP(A537,liste!$A$9:$G$145,2,FALSE))</f>
        <v/>
      </c>
      <c r="B538" s="991" t="s">
        <v>288</v>
      </c>
      <c r="C538" s="991" t="s">
        <v>288</v>
      </c>
      <c r="D538" s="447"/>
      <c r="E538" s="447"/>
      <c r="F538" s="447"/>
      <c r="G538" s="447"/>
      <c r="H538" s="447"/>
      <c r="I538" s="447"/>
      <c r="J538" s="447"/>
      <c r="K538" s="425"/>
      <c r="L538" s="990" t="str">
        <f>IF(L537="","",VLOOKUP(L537,liste!$A$9:$G$145,2,FALSE))</f>
        <v/>
      </c>
      <c r="M538" s="991" t="s">
        <v>288</v>
      </c>
      <c r="N538" s="991" t="s">
        <v>288</v>
      </c>
      <c r="O538" s="447"/>
      <c r="P538" s="447"/>
      <c r="Q538" s="447"/>
      <c r="R538" s="447"/>
      <c r="S538" s="447"/>
      <c r="T538" s="428"/>
      <c r="U538" s="447"/>
    </row>
    <row r="539" spans="1:21" s="232" customFormat="1" ht="20.100000000000001" customHeight="1" x14ac:dyDescent="0.2">
      <c r="A539" s="440"/>
      <c r="B539" s="438"/>
      <c r="C539" s="450" t="str">
        <f>IF(A537="","",VLOOKUP(A537,liste!$A$9:$G$145,4,FALSE))</f>
        <v/>
      </c>
      <c r="D539" s="451"/>
      <c r="E539" s="451"/>
      <c r="F539" s="451"/>
      <c r="G539" s="451"/>
      <c r="H539" s="451"/>
      <c r="I539" s="451"/>
      <c r="J539" s="451"/>
      <c r="K539" s="425"/>
      <c r="L539" s="440"/>
      <c r="M539" s="438"/>
      <c r="N539" s="450" t="str">
        <f>IF(L537="","",VLOOKUP(L537,liste!$A$9:$G$145,4,FALSE))</f>
        <v/>
      </c>
      <c r="O539" s="451"/>
      <c r="P539" s="451"/>
      <c r="Q539" s="451"/>
      <c r="R539" s="451"/>
      <c r="S539" s="451"/>
      <c r="T539" s="452"/>
      <c r="U539" s="451"/>
    </row>
    <row r="540" spans="1:21" s="232" customFormat="1" ht="15.75" x14ac:dyDescent="0.2">
      <c r="A540" s="453" t="str">
        <f>IF(A537="","",VLOOKUP(A537,liste!$A$9:$G$145,3,FALSE))</f>
        <v/>
      </c>
      <c r="B540" s="438"/>
      <c r="C540" s="438"/>
      <c r="D540" s="455"/>
      <c r="E540" s="455"/>
      <c r="F540" s="455"/>
      <c r="G540" s="455"/>
      <c r="H540" s="455"/>
      <c r="I540" s="455"/>
      <c r="J540" s="455"/>
      <c r="K540" s="425"/>
      <c r="L540" s="453" t="str">
        <f>IF(L537="","",VLOOKUP(L537,liste!$A$9:$G$145,3,FALSE))</f>
        <v/>
      </c>
      <c r="M540" s="438"/>
      <c r="N540" s="438"/>
      <c r="O540" s="454"/>
      <c r="P540" s="454"/>
      <c r="Q540" s="454"/>
      <c r="R540" s="454"/>
      <c r="S540" s="454"/>
      <c r="T540" s="456"/>
      <c r="U540" s="454"/>
    </row>
    <row r="541" spans="1:21" s="232" customFormat="1" ht="12.75" x14ac:dyDescent="0.2">
      <c r="A541" s="425"/>
      <c r="B541" s="231"/>
      <c r="C541" s="231"/>
      <c r="D541" s="458"/>
      <c r="E541" s="458"/>
      <c r="F541" s="458"/>
      <c r="G541" s="458"/>
      <c r="H541" s="458"/>
      <c r="I541" s="458"/>
      <c r="J541" s="458"/>
      <c r="K541" s="425"/>
      <c r="L541" s="425"/>
      <c r="M541" s="231"/>
      <c r="N541" s="231"/>
      <c r="O541" s="457"/>
      <c r="P541" s="457"/>
      <c r="Q541" s="457"/>
      <c r="R541" s="457"/>
      <c r="S541" s="457"/>
      <c r="T541" s="459"/>
      <c r="U541" s="457"/>
    </row>
    <row r="542" spans="1:21" s="232" customFormat="1" ht="12.75" x14ac:dyDescent="0.2">
      <c r="A542" s="425"/>
      <c r="B542" s="231"/>
      <c r="C542" s="231"/>
      <c r="D542" s="231"/>
      <c r="E542" s="231"/>
      <c r="F542" s="231"/>
      <c r="G542" s="231"/>
      <c r="H542" s="231"/>
      <c r="I542" s="231"/>
      <c r="J542" s="428"/>
      <c r="K542" s="425"/>
      <c r="L542" s="425"/>
      <c r="M542" s="231"/>
      <c r="N542" s="231"/>
      <c r="O542" s="231"/>
      <c r="P542" s="231"/>
      <c r="Q542" s="231"/>
      <c r="R542" s="231"/>
      <c r="S542" s="231"/>
      <c r="T542" s="231"/>
      <c r="U542" s="428"/>
    </row>
    <row r="543" spans="1:21" s="232" customFormat="1" ht="20.100000000000001" customHeight="1" x14ac:dyDescent="0.2">
      <c r="A543" s="988" t="s">
        <v>90</v>
      </c>
      <c r="B543" s="989"/>
      <c r="C543" s="989"/>
      <c r="D543" s="461" t="s">
        <v>77</v>
      </c>
      <c r="E543" s="461" t="s">
        <v>87</v>
      </c>
      <c r="F543" s="461" t="s">
        <v>88</v>
      </c>
      <c r="G543" s="231"/>
      <c r="H543" s="231"/>
      <c r="I543" s="231"/>
      <c r="J543" s="428"/>
      <c r="K543" s="425"/>
      <c r="L543" s="988" t="s">
        <v>90</v>
      </c>
      <c r="M543" s="989"/>
      <c r="N543" s="989"/>
      <c r="O543" s="461" t="s">
        <v>77</v>
      </c>
      <c r="P543" s="461" t="s">
        <v>87</v>
      </c>
      <c r="Q543" s="461" t="s">
        <v>88</v>
      </c>
      <c r="R543" s="231"/>
      <c r="S543" s="231"/>
      <c r="T543" s="231"/>
      <c r="U543" s="428"/>
    </row>
    <row r="544" spans="1:21" s="232" customFormat="1" ht="20.100000000000001" customHeight="1" x14ac:dyDescent="0.2">
      <c r="A544" s="462" t="str">
        <f>A533</f>
        <v/>
      </c>
      <c r="B544" s="426"/>
      <c r="C544" s="449"/>
      <c r="D544" s="448"/>
      <c r="E544" s="448"/>
      <c r="F544" s="448"/>
      <c r="G544" s="231"/>
      <c r="H544" s="231"/>
      <c r="I544" s="231"/>
      <c r="J544" s="428"/>
      <c r="K544" s="425"/>
      <c r="L544" s="462" t="str">
        <f>L533</f>
        <v/>
      </c>
      <c r="M544" s="426"/>
      <c r="N544" s="449"/>
      <c r="O544" s="448"/>
      <c r="P544" s="448"/>
      <c r="Q544" s="448"/>
      <c r="R544" s="231"/>
      <c r="S544" s="231"/>
      <c r="T544" s="231"/>
      <c r="U544" s="428"/>
    </row>
    <row r="545" spans="1:21" s="232" customFormat="1" ht="20.100000000000001" customHeight="1" x14ac:dyDescent="0.2">
      <c r="A545" s="463"/>
      <c r="B545" s="233"/>
      <c r="C545" s="452"/>
      <c r="D545" s="451"/>
      <c r="E545" s="451"/>
      <c r="F545" s="451"/>
      <c r="G545" s="231"/>
      <c r="H545" s="231"/>
      <c r="I545" s="231"/>
      <c r="J545" s="428"/>
      <c r="K545" s="425"/>
      <c r="L545" s="463"/>
      <c r="M545" s="233"/>
      <c r="N545" s="452"/>
      <c r="O545" s="451"/>
      <c r="P545" s="451"/>
      <c r="Q545" s="451"/>
      <c r="R545" s="231"/>
      <c r="S545" s="231"/>
      <c r="T545" s="231"/>
      <c r="U545" s="428"/>
    </row>
    <row r="546" spans="1:21" s="232" customFormat="1" ht="20.100000000000001" customHeight="1" x14ac:dyDescent="0.2">
      <c r="A546" s="462" t="str">
        <f>A538</f>
        <v/>
      </c>
      <c r="B546" s="426"/>
      <c r="C546" s="449"/>
      <c r="D546" s="448"/>
      <c r="E546" s="448"/>
      <c r="F546" s="448"/>
      <c r="G546" s="231"/>
      <c r="H546" s="231"/>
      <c r="I546" s="231"/>
      <c r="J546" s="428"/>
      <c r="K546" s="425"/>
      <c r="L546" s="462" t="str">
        <f>L538</f>
        <v/>
      </c>
      <c r="M546" s="426"/>
      <c r="N546" s="449"/>
      <c r="O546" s="448"/>
      <c r="P546" s="448"/>
      <c r="Q546" s="448"/>
      <c r="R546" s="231"/>
      <c r="S546" s="231"/>
      <c r="T546" s="231"/>
      <c r="U546" s="428"/>
    </row>
    <row r="547" spans="1:21" s="232" customFormat="1" ht="20.100000000000001" customHeight="1" x14ac:dyDescent="0.2">
      <c r="A547" s="463"/>
      <c r="B547" s="233"/>
      <c r="C547" s="452"/>
      <c r="D547" s="451"/>
      <c r="E547" s="451"/>
      <c r="F547" s="451"/>
      <c r="G547" s="231"/>
      <c r="H547" s="231"/>
      <c r="I547" s="231"/>
      <c r="J547" s="428"/>
      <c r="K547" s="425"/>
      <c r="L547" s="463"/>
      <c r="M547" s="233"/>
      <c r="N547" s="452"/>
      <c r="O547" s="451"/>
      <c r="P547" s="451"/>
      <c r="Q547" s="451"/>
      <c r="R547" s="231"/>
      <c r="S547" s="231"/>
      <c r="T547" s="231"/>
      <c r="U547" s="428"/>
    </row>
    <row r="548" spans="1:21" s="232" customFormat="1" ht="12.75" x14ac:dyDescent="0.2">
      <c r="A548" s="464" t="s">
        <v>91</v>
      </c>
      <c r="B548" s="231"/>
      <c r="C548" s="231"/>
      <c r="D548" s="231"/>
      <c r="E548" s="231"/>
      <c r="F548" s="231"/>
      <c r="G548" s="231"/>
      <c r="H548" s="231"/>
      <c r="I548" s="231"/>
      <c r="J548" s="428"/>
      <c r="K548" s="425"/>
      <c r="L548" s="464" t="s">
        <v>91</v>
      </c>
      <c r="M548" s="231"/>
      <c r="N548" s="231"/>
      <c r="O548" s="231"/>
      <c r="P548" s="231"/>
      <c r="Q548" s="231"/>
      <c r="R548" s="231"/>
      <c r="S548" s="231"/>
      <c r="T548" s="231"/>
      <c r="U548" s="428"/>
    </row>
    <row r="549" spans="1:21" s="232" customFormat="1" ht="12.75" x14ac:dyDescent="0.2">
      <c r="A549" s="425"/>
      <c r="B549" s="231"/>
      <c r="C549" s="231"/>
      <c r="D549" s="231"/>
      <c r="E549" s="231"/>
      <c r="F549" s="231"/>
      <c r="G549" s="231"/>
      <c r="H549" s="231"/>
      <c r="I549" s="231"/>
      <c r="J549" s="428"/>
      <c r="K549" s="425"/>
      <c r="L549" s="425"/>
      <c r="M549" s="231"/>
      <c r="N549" s="231"/>
      <c r="O549" s="231"/>
      <c r="P549" s="231"/>
      <c r="Q549" s="231"/>
      <c r="R549" s="231"/>
      <c r="S549" s="231"/>
      <c r="T549" s="231"/>
      <c r="U549" s="428"/>
    </row>
    <row r="550" spans="1:21" s="232" customFormat="1" ht="12.75" x14ac:dyDescent="0.2">
      <c r="A550" s="465" t="s">
        <v>89</v>
      </c>
      <c r="B550" s="233"/>
      <c r="C550" s="233"/>
      <c r="D550" s="233"/>
      <c r="E550" s="233"/>
      <c r="F550" s="233"/>
      <c r="G550" s="233"/>
      <c r="H550" s="233"/>
      <c r="I550" s="233"/>
      <c r="J550" s="452"/>
      <c r="K550" s="425"/>
      <c r="L550" s="465" t="s">
        <v>89</v>
      </c>
      <c r="M550" s="233"/>
      <c r="N550" s="233"/>
      <c r="O550" s="233"/>
      <c r="P550" s="233"/>
      <c r="Q550" s="233"/>
      <c r="R550" s="233"/>
      <c r="S550" s="233"/>
      <c r="T550" s="233"/>
      <c r="U550" s="452"/>
    </row>
    <row r="551" spans="1:21" s="232" customFormat="1" ht="30" customHeight="1" x14ac:dyDescent="0.2"/>
    <row r="552" spans="1:21" s="232" customFormat="1" ht="30" customHeight="1" x14ac:dyDescent="0.2"/>
    <row r="553" spans="1:21" s="232" customFormat="1" ht="20.100000000000001" customHeight="1" x14ac:dyDescent="0.2">
      <c r="A553" s="1005" t="str">
        <f>$A$1</f>
        <v>Circuit décathlon</v>
      </c>
      <c r="B553" s="1006"/>
      <c r="C553" s="1006"/>
      <c r="D553" s="1006"/>
      <c r="E553" s="1006"/>
      <c r="F553" s="1006"/>
      <c r="G553" s="1006"/>
      <c r="H553" s="1006"/>
      <c r="I553" s="1006"/>
      <c r="J553" s="1007"/>
      <c r="K553" s="425"/>
      <c r="L553" s="1005" t="str">
        <f>$A$1</f>
        <v>Circuit décathlon</v>
      </c>
      <c r="M553" s="1006"/>
      <c r="N553" s="1006"/>
      <c r="O553" s="1006"/>
      <c r="P553" s="1006"/>
      <c r="Q553" s="1006"/>
      <c r="R553" s="1006"/>
      <c r="S553" s="1006"/>
      <c r="T553" s="426"/>
      <c r="U553" s="449"/>
    </row>
    <row r="554" spans="1:21" s="232" customFormat="1" ht="15.75" x14ac:dyDescent="0.2">
      <c r="A554" s="425"/>
      <c r="B554" s="231"/>
      <c r="C554" s="231"/>
      <c r="D554" s="427" t="s">
        <v>83</v>
      </c>
      <c r="E554" s="474">
        <f>Rens!J36</f>
        <v>0</v>
      </c>
      <c r="F554" s="231"/>
      <c r="G554" s="231"/>
      <c r="H554" s="231"/>
      <c r="I554" s="231"/>
      <c r="J554" s="428"/>
      <c r="K554" s="425"/>
      <c r="L554" s="425"/>
      <c r="M554" s="231"/>
      <c r="N554" s="231"/>
      <c r="O554" s="427" t="s">
        <v>83</v>
      </c>
      <c r="P554" s="474">
        <f>Rens!J37</f>
        <v>0</v>
      </c>
      <c r="Q554" s="231"/>
      <c r="R554" s="231"/>
      <c r="S554" s="231"/>
      <c r="T554" s="231"/>
      <c r="U554" s="428"/>
    </row>
    <row r="555" spans="1:21" s="232" customFormat="1" ht="18.75" x14ac:dyDescent="0.2">
      <c r="A555" s="429" t="s">
        <v>84</v>
      </c>
      <c r="B555" s="430" t="str">
        <f>$B$3</f>
        <v>Minimes</v>
      </c>
      <c r="C555" s="231"/>
      <c r="D555" s="231"/>
      <c r="E555" s="231"/>
      <c r="F555" s="231"/>
      <c r="G555" s="231"/>
      <c r="H555" s="231"/>
      <c r="I555" s="231"/>
      <c r="J555" s="428"/>
      <c r="K555" s="425"/>
      <c r="L555" s="429" t="s">
        <v>84</v>
      </c>
      <c r="M555" s="430" t="str">
        <f>$B$3</f>
        <v>Minimes</v>
      </c>
      <c r="N555" s="231"/>
      <c r="O555" s="231"/>
      <c r="P555" s="231"/>
      <c r="Q555" s="231"/>
      <c r="R555" s="231"/>
      <c r="S555" s="231"/>
      <c r="T555" s="231"/>
      <c r="U555" s="428"/>
    </row>
    <row r="556" spans="1:21" s="232" customFormat="1" ht="18.75" x14ac:dyDescent="0.2">
      <c r="A556" s="997" t="str">
        <f>A526</f>
        <v>Places 9 à 16</v>
      </c>
      <c r="B556" s="998"/>
      <c r="C556" s="998"/>
      <c r="D556" s="998"/>
      <c r="E556" s="231"/>
      <c r="F556" s="231"/>
      <c r="G556" s="499" t="str">
        <f>Rens!I36</f>
        <v>battu K/L</v>
      </c>
      <c r="H556" s="231"/>
      <c r="I556" s="231"/>
      <c r="J556" s="428"/>
      <c r="K556" s="425"/>
      <c r="L556" s="997" t="str">
        <f>A526</f>
        <v>Places 9 à 16</v>
      </c>
      <c r="M556" s="998"/>
      <c r="N556" s="998"/>
      <c r="O556" s="998"/>
      <c r="P556" s="231"/>
      <c r="Q556" s="231"/>
      <c r="R556" s="499" t="str">
        <f>Rens!I37</f>
        <v>battu M/N</v>
      </c>
      <c r="S556" s="231"/>
      <c r="T556" s="499"/>
      <c r="U556" s="428"/>
    </row>
    <row r="557" spans="1:21" s="343" customFormat="1" ht="23.25" x14ac:dyDescent="0.2">
      <c r="A557" s="432"/>
      <c r="B557" s="434" t="str">
        <f>Tableau!P16</f>
        <v/>
      </c>
      <c r="C557" s="345"/>
      <c r="D557" s="345"/>
      <c r="E557" s="344" t="s">
        <v>178</v>
      </c>
      <c r="F557" s="234">
        <f>Rens!K36</f>
        <v>0</v>
      </c>
      <c r="G557" s="345"/>
      <c r="H557" s="345"/>
      <c r="I557" s="345"/>
      <c r="J557" s="431"/>
      <c r="K557" s="432"/>
      <c r="L557" s="432"/>
      <c r="M557" s="434" t="str">
        <f>Tableau!P12</f>
        <v/>
      </c>
      <c r="N557" s="345"/>
      <c r="O557" s="345"/>
      <c r="P557" s="344" t="s">
        <v>178</v>
      </c>
      <c r="Q557" s="234">
        <f>Rens!K37</f>
        <v>0</v>
      </c>
      <c r="R557" s="345"/>
      <c r="S557" s="345"/>
      <c r="T557" s="345"/>
      <c r="U557" s="431"/>
    </row>
    <row r="558" spans="1:21" s="232" customFormat="1" ht="15.75" x14ac:dyDescent="0.2">
      <c r="A558" s="470" t="s">
        <v>85</v>
      </c>
      <c r="B558" s="436" t="str">
        <f>IF(B557="","",VLOOKUP(B557,liste!$A$9:$G$145,2,FALSE))</f>
        <v/>
      </c>
      <c r="C558" s="471"/>
      <c r="D558" s="471"/>
      <c r="E558" s="471"/>
      <c r="F558" s="471"/>
      <c r="G558" s="471"/>
      <c r="H558" s="471"/>
      <c r="I558" s="231"/>
      <c r="J558" s="428"/>
      <c r="K558" s="425"/>
      <c r="L558" s="470" t="s">
        <v>85</v>
      </c>
      <c r="M558" s="436" t="str">
        <f>IF(M557="","",VLOOKUP(M557,liste!$A$9:$G$145,2,FALSE))</f>
        <v/>
      </c>
      <c r="N558" s="471"/>
      <c r="O558" s="471"/>
      <c r="P558" s="471"/>
      <c r="Q558" s="471"/>
      <c r="R558" s="471"/>
      <c r="S558" s="471"/>
      <c r="T558" s="471"/>
      <c r="U558" s="472"/>
    </row>
    <row r="559" spans="1:21" s="232" customFormat="1" ht="20.100000000000001" customHeight="1" x14ac:dyDescent="0.2">
      <c r="A559" s="425"/>
      <c r="D559" s="999" t="s">
        <v>19</v>
      </c>
      <c r="E559" s="1000"/>
      <c r="F559" s="1000"/>
      <c r="G559" s="1000"/>
      <c r="H559" s="1000"/>
      <c r="I559" s="1000"/>
      <c r="J559" s="1001"/>
      <c r="K559" s="425"/>
      <c r="L559" s="443"/>
      <c r="M559" s="444"/>
      <c r="N559" s="444"/>
      <c r="O559" s="1002" t="s">
        <v>19</v>
      </c>
      <c r="P559" s="1003"/>
      <c r="Q559" s="1003"/>
      <c r="R559" s="1003"/>
      <c r="S559" s="1003"/>
      <c r="T559" s="1003"/>
      <c r="U559" s="1004"/>
    </row>
    <row r="560" spans="1:21" s="232" customFormat="1" ht="20.100000000000001" customHeight="1" x14ac:dyDescent="0.2">
      <c r="A560" s="992" t="s">
        <v>86</v>
      </c>
      <c r="B560" s="993"/>
      <c r="C560" s="993"/>
      <c r="D560" s="467">
        <v>1</v>
      </c>
      <c r="E560" s="467">
        <v>2</v>
      </c>
      <c r="F560" s="467">
        <v>3</v>
      </c>
      <c r="G560" s="467">
        <v>4</v>
      </c>
      <c r="H560" s="467">
        <v>5</v>
      </c>
      <c r="I560" s="467">
        <v>6</v>
      </c>
      <c r="J560" s="467">
        <v>7</v>
      </c>
      <c r="K560" s="425"/>
      <c r="L560" s="992" t="s">
        <v>86</v>
      </c>
      <c r="M560" s="993"/>
      <c r="N560" s="993"/>
      <c r="O560" s="445">
        <v>1</v>
      </c>
      <c r="P560" s="445">
        <v>2</v>
      </c>
      <c r="Q560" s="445">
        <v>3</v>
      </c>
      <c r="R560" s="445">
        <v>4</v>
      </c>
      <c r="S560" s="446">
        <v>5</v>
      </c>
      <c r="T560" s="497">
        <v>6</v>
      </c>
      <c r="U560" s="446">
        <v>7</v>
      </c>
    </row>
    <row r="561" spans="1:21" s="232" customFormat="1" ht="20.100000000000001" customHeight="1" x14ac:dyDescent="0.2">
      <c r="A561" s="500"/>
      <c r="B561" s="501"/>
      <c r="C561" s="501"/>
      <c r="D561" s="994" t="s">
        <v>92</v>
      </c>
      <c r="E561" s="995"/>
      <c r="F561" s="995"/>
      <c r="G561" s="995"/>
      <c r="H561" s="995"/>
      <c r="I561" s="995"/>
      <c r="J561" s="996"/>
      <c r="K561" s="425"/>
      <c r="L561" s="500"/>
      <c r="M561" s="501"/>
      <c r="N561" s="501"/>
      <c r="O561" s="994" t="s">
        <v>92</v>
      </c>
      <c r="P561" s="995"/>
      <c r="Q561" s="995"/>
      <c r="R561" s="995"/>
      <c r="S561" s="995"/>
      <c r="T561" s="995"/>
      <c r="U561" s="996"/>
    </row>
    <row r="562" spans="1:21" s="232" customFormat="1" ht="18.75" x14ac:dyDescent="0.2">
      <c r="A562" s="498" t="str">
        <f>Tableau!AM84</f>
        <v/>
      </c>
      <c r="C562" s="231"/>
      <c r="D562" s="448"/>
      <c r="E562" s="448"/>
      <c r="F562" s="448"/>
      <c r="G562" s="448"/>
      <c r="H562" s="448"/>
      <c r="I562" s="448"/>
      <c r="J562" s="448"/>
      <c r="K562" s="425"/>
      <c r="L562" s="498" t="str">
        <f>Tableau!AM88</f>
        <v/>
      </c>
      <c r="M562" s="231"/>
      <c r="N562" s="231"/>
      <c r="O562" s="448"/>
      <c r="P562" s="448"/>
      <c r="Q562" s="448"/>
      <c r="R562" s="448"/>
      <c r="S562" s="448"/>
      <c r="T562" s="449"/>
      <c r="U562" s="448"/>
    </row>
    <row r="563" spans="1:21" s="232" customFormat="1" ht="20.100000000000001" customHeight="1" x14ac:dyDescent="0.2">
      <c r="A563" s="990" t="str">
        <f>IF(A562="","",VLOOKUP(A562,liste!$A$9:$G$145,2,FALSE))</f>
        <v/>
      </c>
      <c r="B563" s="991" t="s">
        <v>288</v>
      </c>
      <c r="C563" s="991" t="s">
        <v>288</v>
      </c>
      <c r="D563" s="447"/>
      <c r="E563" s="447"/>
      <c r="F563" s="447"/>
      <c r="G563" s="447"/>
      <c r="H563" s="447"/>
      <c r="I563" s="447"/>
      <c r="J563" s="447"/>
      <c r="K563" s="425"/>
      <c r="L563" s="990" t="str">
        <f>IF(L562="","",VLOOKUP(L562,liste!$A$9:$G$145,2,FALSE))</f>
        <v/>
      </c>
      <c r="M563" s="991" t="s">
        <v>288</v>
      </c>
      <c r="N563" s="991" t="s">
        <v>288</v>
      </c>
      <c r="O563" s="447"/>
      <c r="P563" s="447"/>
      <c r="Q563" s="447"/>
      <c r="R563" s="447"/>
      <c r="S563" s="447"/>
      <c r="T563" s="428"/>
      <c r="U563" s="447"/>
    </row>
    <row r="564" spans="1:21" s="232" customFormat="1" ht="20.100000000000001" customHeight="1" x14ac:dyDescent="0.2">
      <c r="A564" s="440"/>
      <c r="B564" s="438"/>
      <c r="C564" s="450" t="str">
        <f>IF(A562="","",VLOOKUP(A562,liste!$A$9:$G$145,4,FALSE))</f>
        <v/>
      </c>
      <c r="D564" s="451"/>
      <c r="E564" s="451"/>
      <c r="F564" s="451"/>
      <c r="G564" s="451"/>
      <c r="H564" s="451"/>
      <c r="I564" s="451"/>
      <c r="J564" s="451"/>
      <c r="K564" s="425"/>
      <c r="L564" s="440"/>
      <c r="M564" s="438"/>
      <c r="N564" s="450" t="str">
        <f>IF(L562="","",VLOOKUP(L562,liste!$A$9:$G$145,4,FALSE))</f>
        <v/>
      </c>
      <c r="O564" s="451"/>
      <c r="P564" s="451"/>
      <c r="Q564" s="451"/>
      <c r="R564" s="451"/>
      <c r="S564" s="451"/>
      <c r="T564" s="452"/>
      <c r="U564" s="451"/>
    </row>
    <row r="565" spans="1:21" s="232" customFormat="1" ht="15.75" x14ac:dyDescent="0.2">
      <c r="A565" s="468" t="str">
        <f>IF(A562="","",VLOOKUP(A562,liste!$A$9:$G$145,3,FALSE))</f>
        <v/>
      </c>
      <c r="B565" s="438"/>
      <c r="C565" s="438"/>
      <c r="D565" s="455"/>
      <c r="E565" s="455"/>
      <c r="F565" s="455"/>
      <c r="G565" s="455"/>
      <c r="H565" s="455"/>
      <c r="I565" s="455"/>
      <c r="J565" s="455"/>
      <c r="K565" s="425"/>
      <c r="L565" s="468" t="str">
        <f>IF(L562="","",VLOOKUP(L562,liste!$A$9:$G$145,3,FALSE))</f>
        <v/>
      </c>
      <c r="M565" s="438"/>
      <c r="N565" s="438"/>
      <c r="O565" s="454"/>
      <c r="P565" s="454"/>
      <c r="Q565" s="454"/>
      <c r="R565" s="454"/>
      <c r="S565" s="454"/>
      <c r="T565" s="456"/>
      <c r="U565" s="454"/>
    </row>
    <row r="566" spans="1:21" s="232" customFormat="1" ht="12.75" x14ac:dyDescent="0.2">
      <c r="A566" s="425"/>
      <c r="B566" s="230" t="s">
        <v>9</v>
      </c>
      <c r="C566" s="231"/>
      <c r="D566" s="458"/>
      <c r="E566" s="458"/>
      <c r="F566" s="458"/>
      <c r="G566" s="458"/>
      <c r="H566" s="458"/>
      <c r="I566" s="458"/>
      <c r="J566" s="458"/>
      <c r="K566" s="425"/>
      <c r="L566" s="425"/>
      <c r="M566" s="230" t="s">
        <v>9</v>
      </c>
      <c r="N566" s="231"/>
      <c r="O566" s="457"/>
      <c r="P566" s="457"/>
      <c r="Q566" s="457"/>
      <c r="R566" s="457"/>
      <c r="S566" s="457"/>
      <c r="T566" s="459"/>
      <c r="U566" s="457"/>
    </row>
    <row r="567" spans="1:21" s="232" customFormat="1" ht="18.75" x14ac:dyDescent="0.2">
      <c r="A567" s="498" t="str">
        <f>Tableau!AM86</f>
        <v/>
      </c>
      <c r="B567" s="469"/>
      <c r="C567" s="231"/>
      <c r="D567" s="448"/>
      <c r="E567" s="448"/>
      <c r="F567" s="448"/>
      <c r="G567" s="448"/>
      <c r="H567" s="448"/>
      <c r="I567" s="448"/>
      <c r="J567" s="448"/>
      <c r="K567" s="425"/>
      <c r="L567" s="498" t="str">
        <f>Tableau!AM90</f>
        <v/>
      </c>
      <c r="M567" s="231"/>
      <c r="N567" s="231"/>
      <c r="O567" s="448"/>
      <c r="P567" s="448"/>
      <c r="Q567" s="448"/>
      <c r="R567" s="448"/>
      <c r="S567" s="448"/>
      <c r="T567" s="449"/>
      <c r="U567" s="448"/>
    </row>
    <row r="568" spans="1:21" s="232" customFormat="1" ht="20.100000000000001" customHeight="1" x14ac:dyDescent="0.2">
      <c r="A568" s="990" t="str">
        <f>IF(A567="","",VLOOKUP(A567,liste!$A$9:$G$145,2,FALSE))</f>
        <v/>
      </c>
      <c r="B568" s="991" t="s">
        <v>288</v>
      </c>
      <c r="C568" s="991" t="s">
        <v>288</v>
      </c>
      <c r="D568" s="447"/>
      <c r="E568" s="447"/>
      <c r="F568" s="447"/>
      <c r="G568" s="447"/>
      <c r="H568" s="447"/>
      <c r="I568" s="447"/>
      <c r="J568" s="447"/>
      <c r="K568" s="425"/>
      <c r="L568" s="990" t="str">
        <f>IF(L567="","",VLOOKUP(L567,liste!$A$9:$G$145,2,FALSE))</f>
        <v/>
      </c>
      <c r="M568" s="991" t="s">
        <v>288</v>
      </c>
      <c r="N568" s="991" t="s">
        <v>288</v>
      </c>
      <c r="O568" s="447"/>
      <c r="P568" s="447"/>
      <c r="Q568" s="447"/>
      <c r="R568" s="447"/>
      <c r="S568" s="447"/>
      <c r="T568" s="428"/>
      <c r="U568" s="447"/>
    </row>
    <row r="569" spans="1:21" s="232" customFormat="1" ht="20.100000000000001" customHeight="1" x14ac:dyDescent="0.2">
      <c r="A569" s="440"/>
      <c r="B569" s="438"/>
      <c r="C569" s="450" t="str">
        <f>IF(A567="","",VLOOKUP(A567,liste!$A$9:$G$145,4,FALSE))</f>
        <v/>
      </c>
      <c r="D569" s="451"/>
      <c r="E569" s="451"/>
      <c r="F569" s="451"/>
      <c r="G569" s="451"/>
      <c r="H569" s="451"/>
      <c r="I569" s="451"/>
      <c r="J569" s="451"/>
      <c r="K569" s="425"/>
      <c r="L569" s="440"/>
      <c r="M569" s="438"/>
      <c r="N569" s="450" t="str">
        <f>IF(L567="","",VLOOKUP(L567,liste!$A$9:$G$145,4,FALSE))</f>
        <v/>
      </c>
      <c r="O569" s="451"/>
      <c r="P569" s="451"/>
      <c r="Q569" s="451"/>
      <c r="R569" s="451"/>
      <c r="S569" s="451"/>
      <c r="T569" s="452"/>
      <c r="U569" s="451"/>
    </row>
    <row r="570" spans="1:21" s="232" customFormat="1" ht="15.75" x14ac:dyDescent="0.2">
      <c r="A570" s="473" t="str">
        <f>IF(A567="","",VLOOKUP(A567,liste!$A$9:$G$145,3,FALSE))</f>
        <v/>
      </c>
      <c r="B570" s="438"/>
      <c r="C570" s="438"/>
      <c r="D570" s="455"/>
      <c r="E570" s="455"/>
      <c r="F570" s="455"/>
      <c r="G570" s="455"/>
      <c r="H570" s="455"/>
      <c r="I570" s="455"/>
      <c r="J570" s="455"/>
      <c r="K570" s="425"/>
      <c r="L570" s="468" t="str">
        <f>IF(L567="","",VLOOKUP(L567,liste!$A$9:$G$145,3,FALSE))</f>
        <v/>
      </c>
      <c r="M570" s="438"/>
      <c r="N570" s="438"/>
      <c r="O570" s="454"/>
      <c r="P570" s="454"/>
      <c r="Q570" s="454"/>
      <c r="R570" s="454"/>
      <c r="S570" s="454"/>
      <c r="T570" s="456"/>
      <c r="U570" s="454"/>
    </row>
    <row r="571" spans="1:21" s="232" customFormat="1" ht="12.75" x14ac:dyDescent="0.2">
      <c r="A571" s="425"/>
      <c r="B571" s="231"/>
      <c r="C571" s="231"/>
      <c r="D571" s="458"/>
      <c r="E571" s="458"/>
      <c r="F571" s="458"/>
      <c r="G571" s="458"/>
      <c r="H571" s="458"/>
      <c r="I571" s="458"/>
      <c r="J571" s="458"/>
      <c r="K571" s="425"/>
      <c r="L571" s="425"/>
      <c r="M571" s="231"/>
      <c r="N571" s="231"/>
      <c r="O571" s="457"/>
      <c r="P571" s="457"/>
      <c r="Q571" s="457"/>
      <c r="R571" s="457"/>
      <c r="S571" s="457"/>
      <c r="T571" s="459"/>
      <c r="U571" s="457"/>
    </row>
    <row r="572" spans="1:21" s="232" customFormat="1" ht="12.75" x14ac:dyDescent="0.2">
      <c r="A572" s="425"/>
      <c r="B572" s="231"/>
      <c r="C572" s="231"/>
      <c r="D572" s="231"/>
      <c r="E572" s="231"/>
      <c r="F572" s="231"/>
      <c r="G572" s="231"/>
      <c r="H572" s="231"/>
      <c r="I572" s="231"/>
      <c r="J572" s="428"/>
      <c r="K572" s="425"/>
      <c r="L572" s="425"/>
      <c r="M572" s="231"/>
      <c r="N572" s="231"/>
      <c r="O572" s="231"/>
      <c r="P572" s="231"/>
      <c r="Q572" s="231"/>
      <c r="R572" s="231"/>
      <c r="S572" s="231"/>
      <c r="T572" s="231"/>
      <c r="U572" s="428"/>
    </row>
    <row r="573" spans="1:21" s="232" customFormat="1" ht="20.100000000000001" customHeight="1" x14ac:dyDescent="0.2">
      <c r="A573" s="988" t="s">
        <v>90</v>
      </c>
      <c r="B573" s="989"/>
      <c r="C573" s="989"/>
      <c r="D573" s="461" t="s">
        <v>77</v>
      </c>
      <c r="E573" s="461" t="s">
        <v>87</v>
      </c>
      <c r="F573" s="461" t="s">
        <v>88</v>
      </c>
      <c r="G573" s="231"/>
      <c r="H573" s="231"/>
      <c r="I573" s="231"/>
      <c r="J573" s="428"/>
      <c r="K573" s="425"/>
      <c r="L573" s="988" t="s">
        <v>90</v>
      </c>
      <c r="M573" s="989"/>
      <c r="N573" s="989"/>
      <c r="O573" s="461" t="s">
        <v>77</v>
      </c>
      <c r="P573" s="461" t="s">
        <v>87</v>
      </c>
      <c r="Q573" s="461" t="s">
        <v>88</v>
      </c>
      <c r="R573" s="231"/>
      <c r="S573" s="231"/>
      <c r="T573" s="231"/>
      <c r="U573" s="428"/>
    </row>
    <row r="574" spans="1:21" s="232" customFormat="1" ht="20.100000000000001" customHeight="1" x14ac:dyDescent="0.2">
      <c r="A574" s="462" t="str">
        <f>A563</f>
        <v/>
      </c>
      <c r="B574" s="426"/>
      <c r="C574" s="449"/>
      <c r="D574" s="448"/>
      <c r="E574" s="448"/>
      <c r="F574" s="448"/>
      <c r="G574" s="231"/>
      <c r="H574" s="231"/>
      <c r="I574" s="231"/>
      <c r="J574" s="428"/>
      <c r="K574" s="425"/>
      <c r="L574" s="462" t="str">
        <f>L563</f>
        <v/>
      </c>
      <c r="M574" s="426"/>
      <c r="N574" s="449"/>
      <c r="O574" s="448"/>
      <c r="P574" s="448"/>
      <c r="Q574" s="448"/>
      <c r="R574" s="231"/>
      <c r="S574" s="231"/>
      <c r="T574" s="231"/>
      <c r="U574" s="428"/>
    </row>
    <row r="575" spans="1:21" s="232" customFormat="1" ht="20.100000000000001" customHeight="1" x14ac:dyDescent="0.2">
      <c r="A575" s="463"/>
      <c r="B575" s="233"/>
      <c r="C575" s="452"/>
      <c r="D575" s="451"/>
      <c r="E575" s="451"/>
      <c r="F575" s="451"/>
      <c r="G575" s="231"/>
      <c r="H575" s="231"/>
      <c r="I575" s="231"/>
      <c r="J575" s="428"/>
      <c r="K575" s="425"/>
      <c r="L575" s="463"/>
      <c r="M575" s="233"/>
      <c r="N575" s="452"/>
      <c r="O575" s="451"/>
      <c r="P575" s="451"/>
      <c r="Q575" s="451"/>
      <c r="R575" s="231"/>
      <c r="S575" s="231"/>
      <c r="T575" s="231"/>
      <c r="U575" s="428"/>
    </row>
    <row r="576" spans="1:21" s="232" customFormat="1" ht="20.100000000000001" customHeight="1" x14ac:dyDescent="0.2">
      <c r="A576" s="462" t="str">
        <f>A568</f>
        <v/>
      </c>
      <c r="B576" s="426"/>
      <c r="C576" s="449"/>
      <c r="D576" s="448"/>
      <c r="E576" s="448"/>
      <c r="F576" s="448"/>
      <c r="G576" s="231"/>
      <c r="H576" s="231"/>
      <c r="I576" s="231"/>
      <c r="J576" s="428"/>
      <c r="K576" s="425"/>
      <c r="L576" s="462" t="str">
        <f>L568</f>
        <v/>
      </c>
      <c r="M576" s="426"/>
      <c r="N576" s="449"/>
      <c r="O576" s="448"/>
      <c r="P576" s="448"/>
      <c r="Q576" s="448"/>
      <c r="R576" s="231"/>
      <c r="S576" s="231"/>
      <c r="T576" s="231"/>
      <c r="U576" s="428"/>
    </row>
    <row r="577" spans="1:21" s="232" customFormat="1" ht="20.100000000000001" customHeight="1" x14ac:dyDescent="0.2">
      <c r="A577" s="463"/>
      <c r="B577" s="233"/>
      <c r="C577" s="452"/>
      <c r="D577" s="451"/>
      <c r="E577" s="451"/>
      <c r="F577" s="451"/>
      <c r="G577" s="231"/>
      <c r="H577" s="231"/>
      <c r="I577" s="231"/>
      <c r="J577" s="428"/>
      <c r="K577" s="425"/>
      <c r="L577" s="463"/>
      <c r="M577" s="233"/>
      <c r="N577" s="452"/>
      <c r="O577" s="451"/>
      <c r="P577" s="451"/>
      <c r="Q577" s="451"/>
      <c r="R577" s="231"/>
      <c r="S577" s="231"/>
      <c r="T577" s="231"/>
      <c r="U577" s="428"/>
    </row>
    <row r="578" spans="1:21" s="232" customFormat="1" ht="12.75" x14ac:dyDescent="0.2">
      <c r="A578" s="464" t="s">
        <v>91</v>
      </c>
      <c r="B578" s="231"/>
      <c r="C578" s="231"/>
      <c r="D578" s="231"/>
      <c r="E578" s="231"/>
      <c r="F578" s="231"/>
      <c r="G578" s="231"/>
      <c r="H578" s="231"/>
      <c r="I578" s="231"/>
      <c r="J578" s="428"/>
      <c r="K578" s="425"/>
      <c r="L578" s="464" t="s">
        <v>91</v>
      </c>
      <c r="M578" s="231"/>
      <c r="N578" s="231"/>
      <c r="O578" s="231"/>
      <c r="P578" s="231"/>
      <c r="Q578" s="231"/>
      <c r="R578" s="231"/>
      <c r="S578" s="231"/>
      <c r="T578" s="231"/>
      <c r="U578" s="428"/>
    </row>
    <row r="579" spans="1:21" s="232" customFormat="1" ht="12.75" x14ac:dyDescent="0.2">
      <c r="A579" s="425"/>
      <c r="B579" s="231"/>
      <c r="C579" s="231"/>
      <c r="D579" s="231"/>
      <c r="E579" s="231"/>
      <c r="F579" s="231"/>
      <c r="G579" s="231"/>
      <c r="H579" s="231"/>
      <c r="I579" s="231"/>
      <c r="J579" s="428"/>
      <c r="K579" s="425"/>
      <c r="L579" s="425"/>
      <c r="M579" s="231"/>
      <c r="N579" s="231"/>
      <c r="O579" s="231"/>
      <c r="P579" s="231"/>
      <c r="Q579" s="231"/>
      <c r="R579" s="231"/>
      <c r="S579" s="231"/>
      <c r="T579" s="231"/>
      <c r="U579" s="428"/>
    </row>
    <row r="580" spans="1:21" s="232" customFormat="1" ht="12.75" customHeight="1" x14ac:dyDescent="0.2">
      <c r="A580" s="465" t="s">
        <v>89</v>
      </c>
      <c r="B580" s="233"/>
      <c r="C580" s="233"/>
      <c r="D580" s="233"/>
      <c r="E580" s="233"/>
      <c r="F580" s="233"/>
      <c r="G580" s="233"/>
      <c r="H580" s="233"/>
      <c r="I580" s="233"/>
      <c r="J580" s="452"/>
      <c r="K580" s="425"/>
      <c r="L580" s="465" t="s">
        <v>89</v>
      </c>
      <c r="M580" s="233"/>
      <c r="N580" s="233"/>
      <c r="O580" s="233"/>
      <c r="P580" s="233"/>
      <c r="Q580" s="233"/>
      <c r="R580" s="233"/>
      <c r="S580" s="233"/>
      <c r="T580" s="233"/>
      <c r="U580" s="452"/>
    </row>
    <row r="581" spans="1:21" s="232" customFormat="1" ht="20.100000000000001" customHeight="1" x14ac:dyDescent="0.2">
      <c r="A581" s="1005" t="str">
        <f>$A$1</f>
        <v>Circuit décathlon</v>
      </c>
      <c r="B581" s="1006"/>
      <c r="C581" s="1006"/>
      <c r="D581" s="1006"/>
      <c r="E581" s="1006"/>
      <c r="F581" s="1006"/>
      <c r="G581" s="1006"/>
      <c r="H581" s="1006"/>
      <c r="I581" s="1006"/>
      <c r="J581" s="1007"/>
      <c r="K581" s="425"/>
      <c r="L581" s="1005" t="str">
        <f>$A$1</f>
        <v>Circuit décathlon</v>
      </c>
      <c r="M581" s="1006"/>
      <c r="N581" s="1006"/>
      <c r="O581" s="1006"/>
      <c r="P581" s="1006"/>
      <c r="Q581" s="1006"/>
      <c r="R581" s="1006"/>
      <c r="S581" s="1006"/>
      <c r="T581" s="426"/>
      <c r="U581" s="449"/>
    </row>
    <row r="582" spans="1:21" s="232" customFormat="1" ht="15.75" x14ac:dyDescent="0.2">
      <c r="A582" s="425"/>
      <c r="B582" s="231"/>
      <c r="C582" s="231"/>
      <c r="D582" s="427" t="s">
        <v>83</v>
      </c>
      <c r="E582" s="474">
        <f>Rens!F41</f>
        <v>0</v>
      </c>
      <c r="F582" s="231"/>
      <c r="G582" s="231"/>
      <c r="H582" s="231"/>
      <c r="I582" s="231"/>
      <c r="J582" s="428"/>
      <c r="K582" s="425"/>
      <c r="L582" s="425"/>
      <c r="M582" s="231"/>
      <c r="N582" s="231"/>
      <c r="O582" s="427" t="s">
        <v>83</v>
      </c>
      <c r="P582" s="474">
        <f>Rens!F42</f>
        <v>0</v>
      </c>
      <c r="Q582" s="231"/>
      <c r="R582" s="231"/>
      <c r="S582" s="231"/>
      <c r="T582" s="231"/>
      <c r="U582" s="428"/>
    </row>
    <row r="583" spans="1:21" s="343" customFormat="1" ht="18.75" x14ac:dyDescent="0.2">
      <c r="A583" s="429" t="s">
        <v>84</v>
      </c>
      <c r="B583" s="430" t="str">
        <f>liste!$A$6</f>
        <v>Minimes</v>
      </c>
      <c r="C583" s="345"/>
      <c r="D583" s="345"/>
      <c r="E583" s="345"/>
      <c r="F583" s="345"/>
      <c r="G583" s="345"/>
      <c r="H583" s="345"/>
      <c r="I583" s="345"/>
      <c r="J583" s="431"/>
      <c r="K583" s="432"/>
      <c r="L583" s="429" t="s">
        <v>84</v>
      </c>
      <c r="M583" s="430" t="str">
        <f>$B$3</f>
        <v>Minimes</v>
      </c>
      <c r="N583" s="345"/>
      <c r="O583" s="345"/>
      <c r="P583" s="345"/>
      <c r="Q583" s="345"/>
      <c r="R583" s="345"/>
      <c r="S583" s="345"/>
      <c r="T583" s="345"/>
      <c r="U583" s="431"/>
    </row>
    <row r="584" spans="1:21" s="343" customFormat="1" ht="18.75" x14ac:dyDescent="0.2">
      <c r="A584" s="997" t="s">
        <v>219</v>
      </c>
      <c r="B584" s="998"/>
      <c r="C584" s="998"/>
      <c r="D584" s="998"/>
      <c r="E584" s="345"/>
      <c r="F584" s="345"/>
      <c r="G584" s="430" t="str">
        <f>Rens!E41</f>
        <v>Y'</v>
      </c>
      <c r="H584" s="430"/>
      <c r="I584" s="345"/>
      <c r="J584" s="431"/>
      <c r="K584" s="432"/>
      <c r="L584" s="997" t="str">
        <f>A584</f>
        <v>Places 17 à 20</v>
      </c>
      <c r="M584" s="998"/>
      <c r="N584" s="998"/>
      <c r="O584" s="998"/>
      <c r="P584" s="345"/>
      <c r="Q584" s="345"/>
      <c r="R584" s="430" t="str">
        <f>Rens!E42</f>
        <v>Z'</v>
      </c>
      <c r="S584" s="430"/>
      <c r="T584" s="430"/>
      <c r="U584" s="433"/>
    </row>
    <row r="585" spans="1:21" s="343" customFormat="1" ht="23.25" x14ac:dyDescent="0.2">
      <c r="A585" s="432"/>
      <c r="B585" s="434">
        <f>Tableau!AB46</f>
        <v>0</v>
      </c>
      <c r="C585" s="345"/>
      <c r="D585" s="345"/>
      <c r="E585" s="344" t="s">
        <v>178</v>
      </c>
      <c r="F585" s="234">
        <f>Rens!G41</f>
        <v>0</v>
      </c>
      <c r="G585" s="345"/>
      <c r="H585" s="345"/>
      <c r="I585" s="345"/>
      <c r="J585" s="431"/>
      <c r="K585" s="432"/>
      <c r="L585" s="432"/>
      <c r="M585" s="434">
        <f>Tableau!AB42</f>
        <v>0</v>
      </c>
      <c r="N585" s="345"/>
      <c r="O585" s="345"/>
      <c r="P585" s="344" t="s">
        <v>178</v>
      </c>
      <c r="Q585" s="234">
        <f>Rens!G42</f>
        <v>0</v>
      </c>
      <c r="R585" s="345"/>
      <c r="S585" s="345"/>
      <c r="T585" s="345"/>
      <c r="U585" s="431"/>
    </row>
    <row r="586" spans="1:21" s="442" customFormat="1" ht="15.75" x14ac:dyDescent="0.2">
      <c r="A586" s="435" t="s">
        <v>85</v>
      </c>
      <c r="B586" s="436" t="e">
        <f>IF(B585="","",VLOOKUP(B585,liste!$A$9:$G$145,2,FALSE))</f>
        <v>#N/A</v>
      </c>
      <c r="C586" s="437"/>
      <c r="D586" s="437"/>
      <c r="E586" s="437"/>
      <c r="F586" s="437"/>
      <c r="G586" s="437"/>
      <c r="H586" s="437"/>
      <c r="I586" s="438"/>
      <c r="J586" s="439"/>
      <c r="K586" s="440"/>
      <c r="L586" s="435" t="s">
        <v>85</v>
      </c>
      <c r="M586" s="436" t="e">
        <f>IF(M585="","",VLOOKUP(M585,liste!$A$9:$G$145,2,FALSE))</f>
        <v>#N/A</v>
      </c>
      <c r="N586" s="437"/>
      <c r="O586" s="437"/>
      <c r="P586" s="437"/>
      <c r="Q586" s="437"/>
      <c r="R586" s="437"/>
      <c r="S586" s="437"/>
      <c r="T586" s="437"/>
      <c r="U586" s="441"/>
    </row>
    <row r="587" spans="1:21" s="232" customFormat="1" ht="20.100000000000001" customHeight="1" x14ac:dyDescent="0.2">
      <c r="A587" s="425"/>
      <c r="B587" s="231"/>
      <c r="C587" s="231"/>
      <c r="D587" s="999" t="s">
        <v>19</v>
      </c>
      <c r="E587" s="1000"/>
      <c r="F587" s="1000"/>
      <c r="G587" s="1000"/>
      <c r="H587" s="1000"/>
      <c r="I587" s="1000"/>
      <c r="J587" s="1001"/>
      <c r="K587" s="425"/>
      <c r="L587" s="443"/>
      <c r="M587" s="444"/>
      <c r="N587" s="444"/>
      <c r="O587" s="1002" t="s">
        <v>19</v>
      </c>
      <c r="P587" s="1003"/>
      <c r="Q587" s="1003"/>
      <c r="R587" s="1003"/>
      <c r="S587" s="1003"/>
      <c r="T587" s="1003"/>
      <c r="U587" s="1004"/>
    </row>
    <row r="588" spans="1:21" s="232" customFormat="1" ht="20.100000000000001" customHeight="1" x14ac:dyDescent="0.2">
      <c r="A588" s="992" t="s">
        <v>86</v>
      </c>
      <c r="B588" s="993"/>
      <c r="C588" s="993"/>
      <c r="D588" s="467">
        <v>1</v>
      </c>
      <c r="E588" s="467">
        <v>2</v>
      </c>
      <c r="F588" s="467">
        <v>3</v>
      </c>
      <c r="G588" s="467">
        <v>4</v>
      </c>
      <c r="H588" s="467">
        <v>5</v>
      </c>
      <c r="I588" s="467">
        <v>6</v>
      </c>
      <c r="J588" s="467">
        <v>7</v>
      </c>
      <c r="K588" s="425"/>
      <c r="L588" s="992" t="s">
        <v>86</v>
      </c>
      <c r="M588" s="993"/>
      <c r="N588" s="993"/>
      <c r="O588" s="445">
        <v>1</v>
      </c>
      <c r="P588" s="445">
        <v>2</v>
      </c>
      <c r="Q588" s="445">
        <v>3</v>
      </c>
      <c r="R588" s="445">
        <v>4</v>
      </c>
      <c r="S588" s="446">
        <v>5</v>
      </c>
      <c r="T588" s="497">
        <v>6</v>
      </c>
      <c r="U588" s="446">
        <v>7</v>
      </c>
    </row>
    <row r="589" spans="1:21" s="232" customFormat="1" ht="20.100000000000001" customHeight="1" x14ac:dyDescent="0.2">
      <c r="A589" s="500"/>
      <c r="B589" s="501"/>
      <c r="C589" s="501"/>
      <c r="D589" s="994" t="s">
        <v>92</v>
      </c>
      <c r="E589" s="995"/>
      <c r="F589" s="995"/>
      <c r="G589" s="995"/>
      <c r="H589" s="995"/>
      <c r="I589" s="995"/>
      <c r="J589" s="996"/>
      <c r="K589" s="425"/>
      <c r="L589" s="500"/>
      <c r="M589" s="501"/>
      <c r="N589" s="501"/>
      <c r="O589" s="994" t="s">
        <v>92</v>
      </c>
      <c r="P589" s="995"/>
      <c r="Q589" s="995"/>
      <c r="R589" s="995"/>
      <c r="S589" s="995"/>
      <c r="T589" s="995"/>
      <c r="U589" s="996"/>
    </row>
    <row r="590" spans="1:21" s="232" customFormat="1" ht="18.75" x14ac:dyDescent="0.2">
      <c r="A590" s="498">
        <f>Tableau!F14</f>
        <v>0</v>
      </c>
      <c r="B590" s="231"/>
      <c r="C590" s="231"/>
      <c r="D590" s="447"/>
      <c r="E590" s="447"/>
      <c r="F590" s="447"/>
      <c r="G590" s="447"/>
      <c r="H590" s="447"/>
      <c r="I590" s="447"/>
      <c r="J590" s="447"/>
      <c r="K590" s="425"/>
      <c r="L590" s="498">
        <f>Tableau!F34</f>
        <v>0</v>
      </c>
      <c r="M590" s="231"/>
      <c r="N590" s="231"/>
      <c r="O590" s="448"/>
      <c r="P590" s="448"/>
      <c r="Q590" s="448"/>
      <c r="R590" s="448"/>
      <c r="S590" s="448"/>
      <c r="T590" s="449"/>
      <c r="U590" s="448"/>
    </row>
    <row r="591" spans="1:21" s="232" customFormat="1" ht="20.100000000000001" customHeight="1" x14ac:dyDescent="0.2">
      <c r="A591" s="990" t="e">
        <f>IF(A590="","",VLOOKUP(A590,liste!$A$9:$G$145,2,FALSE))</f>
        <v>#N/A</v>
      </c>
      <c r="B591" s="991" t="e">
        <v>#N/A</v>
      </c>
      <c r="C591" s="991" t="e">
        <v>#N/A</v>
      </c>
      <c r="D591" s="447"/>
      <c r="E591" s="447"/>
      <c r="F591" s="447"/>
      <c r="G591" s="447"/>
      <c r="H591" s="447"/>
      <c r="I591" s="447"/>
      <c r="J591" s="447"/>
      <c r="K591" s="425"/>
      <c r="L591" s="990" t="e">
        <f>IF(L590="","",VLOOKUP(L590,liste!$A$9:$G$145,2,FALSE))</f>
        <v>#N/A</v>
      </c>
      <c r="M591" s="991" t="e">
        <v>#N/A</v>
      </c>
      <c r="N591" s="991" t="e">
        <v>#N/A</v>
      </c>
      <c r="O591" s="447"/>
      <c r="P591" s="447"/>
      <c r="Q591" s="447"/>
      <c r="R591" s="447"/>
      <c r="S591" s="447"/>
      <c r="T591" s="428"/>
      <c r="U591" s="447"/>
    </row>
    <row r="592" spans="1:21" s="232" customFormat="1" ht="20.100000000000001" customHeight="1" x14ac:dyDescent="0.2">
      <c r="A592" s="425"/>
      <c r="B592" s="231"/>
      <c r="C592" s="450" t="e">
        <f>IF(A590="","",VLOOKUP(A590,liste!$A$9:$G$145,4,FALSE))</f>
        <v>#N/A</v>
      </c>
      <c r="D592" s="451"/>
      <c r="E592" s="451"/>
      <c r="F592" s="451"/>
      <c r="G592" s="451"/>
      <c r="H592" s="451"/>
      <c r="I592" s="451"/>
      <c r="J592" s="451"/>
      <c r="K592" s="425"/>
      <c r="L592" s="425"/>
      <c r="M592" s="231"/>
      <c r="N592" s="450" t="e">
        <f>IF(L590="","",VLOOKUP(L590,liste!$A$9:$G$145,4,FALSE))</f>
        <v>#N/A</v>
      </c>
      <c r="O592" s="451"/>
      <c r="P592" s="451"/>
      <c r="Q592" s="451"/>
      <c r="R592" s="451"/>
      <c r="S592" s="451"/>
      <c r="T592" s="452"/>
      <c r="U592" s="451"/>
    </row>
    <row r="593" spans="1:21" s="232" customFormat="1" ht="15.75" x14ac:dyDescent="0.2">
      <c r="A593" s="453" t="e">
        <f>IF(A590="","",VLOOKUP(A590,liste!$A$9:$G$145,3,FALSE))</f>
        <v>#N/A</v>
      </c>
      <c r="B593" s="231"/>
      <c r="C593" s="231"/>
      <c r="D593" s="455"/>
      <c r="E593" s="455"/>
      <c r="F593" s="455"/>
      <c r="G593" s="455"/>
      <c r="H593" s="455"/>
      <c r="I593" s="455"/>
      <c r="J593" s="455"/>
      <c r="K593" s="425"/>
      <c r="L593" s="453" t="e">
        <f>IF(L590="","",VLOOKUP(L590,liste!$A$9:$G$145,3,FALSE))</f>
        <v>#N/A</v>
      </c>
      <c r="M593" s="231"/>
      <c r="N593" s="231"/>
      <c r="O593" s="454"/>
      <c r="P593" s="454"/>
      <c r="Q593" s="454"/>
      <c r="R593" s="454"/>
      <c r="S593" s="454"/>
      <c r="T593" s="456"/>
      <c r="U593" s="454"/>
    </row>
    <row r="594" spans="1:21" s="232" customFormat="1" ht="12.75" x14ac:dyDescent="0.2">
      <c r="A594" s="425"/>
      <c r="B594" s="230" t="s">
        <v>9</v>
      </c>
      <c r="C594" s="231"/>
      <c r="D594" s="458"/>
      <c r="E594" s="458"/>
      <c r="F594" s="458"/>
      <c r="G594" s="458"/>
      <c r="H594" s="458"/>
      <c r="I594" s="458"/>
      <c r="J594" s="458"/>
      <c r="K594" s="425"/>
      <c r="L594" s="425"/>
      <c r="M594" s="230" t="s">
        <v>9</v>
      </c>
      <c r="N594" s="231"/>
      <c r="O594" s="457"/>
      <c r="P594" s="457"/>
      <c r="Q594" s="457"/>
      <c r="R594" s="457"/>
      <c r="S594" s="457"/>
      <c r="T594" s="459"/>
      <c r="U594" s="457"/>
    </row>
    <row r="595" spans="1:21" s="232" customFormat="1" ht="18.75" x14ac:dyDescent="0.2">
      <c r="A595" s="498">
        <f>Tableau!F24</f>
        <v>0</v>
      </c>
      <c r="B595" s="231"/>
      <c r="C595" s="231"/>
      <c r="D595" s="448"/>
      <c r="E595" s="448"/>
      <c r="F595" s="448"/>
      <c r="G595" s="448"/>
      <c r="H595" s="448"/>
      <c r="I595" s="448"/>
      <c r="J595" s="448"/>
      <c r="K595" s="425"/>
      <c r="L595" s="498">
        <f>Tableau!F44</f>
        <v>0</v>
      </c>
      <c r="M595" s="231"/>
      <c r="N595" s="231"/>
      <c r="O595" s="448"/>
      <c r="P595" s="448"/>
      <c r="Q595" s="448"/>
      <c r="R595" s="448"/>
      <c r="S595" s="448"/>
      <c r="T595" s="449"/>
      <c r="U595" s="448"/>
    </row>
    <row r="596" spans="1:21" s="232" customFormat="1" ht="20.100000000000001" customHeight="1" x14ac:dyDescent="0.2">
      <c r="A596" s="990" t="e">
        <f>IF(A595="","",VLOOKUP(A595,liste!$A$9:$G$145,2,FALSE))</f>
        <v>#N/A</v>
      </c>
      <c r="B596" s="991" t="e">
        <v>#N/A</v>
      </c>
      <c r="C596" s="991" t="e">
        <v>#N/A</v>
      </c>
      <c r="D596" s="447"/>
      <c r="E596" s="447"/>
      <c r="F596" s="447"/>
      <c r="G596" s="447"/>
      <c r="H596" s="447"/>
      <c r="I596" s="447"/>
      <c r="J596" s="447"/>
      <c r="K596" s="425"/>
      <c r="L596" s="990" t="e">
        <f>IF(L595="","",VLOOKUP(L595,liste!$A$9:$G$145,2,FALSE))</f>
        <v>#N/A</v>
      </c>
      <c r="M596" s="991" t="e">
        <v>#N/A</v>
      </c>
      <c r="N596" s="991" t="e">
        <v>#N/A</v>
      </c>
      <c r="O596" s="447"/>
      <c r="P596" s="447"/>
      <c r="Q596" s="447"/>
      <c r="R596" s="447"/>
      <c r="S596" s="447"/>
      <c r="T596" s="428"/>
      <c r="U596" s="447"/>
    </row>
    <row r="597" spans="1:21" s="232" customFormat="1" ht="20.100000000000001" customHeight="1" x14ac:dyDescent="0.2">
      <c r="A597" s="425"/>
      <c r="B597" s="231"/>
      <c r="C597" s="460" t="e">
        <f>IF(A595="","",VLOOKUP(A595,liste!$A$9:$G$145,4,FALSE))</f>
        <v>#N/A</v>
      </c>
      <c r="D597" s="451"/>
      <c r="E597" s="451"/>
      <c r="F597" s="451"/>
      <c r="G597" s="451"/>
      <c r="H597" s="451"/>
      <c r="I597" s="451"/>
      <c r="J597" s="451"/>
      <c r="K597" s="425"/>
      <c r="L597" s="425"/>
      <c r="M597" s="231"/>
      <c r="N597" s="460" t="e">
        <f>IF(L595="","",VLOOKUP(L595,liste!$A$9:$G$145,4,FALSE))</f>
        <v>#N/A</v>
      </c>
      <c r="O597" s="451"/>
      <c r="P597" s="451"/>
      <c r="Q597" s="451"/>
      <c r="R597" s="451"/>
      <c r="S597" s="451"/>
      <c r="T597" s="452"/>
      <c r="U597" s="451"/>
    </row>
    <row r="598" spans="1:21" s="232" customFormat="1" ht="15.75" x14ac:dyDescent="0.2">
      <c r="A598" s="453" t="e">
        <f>IF(A595="","",VLOOKUP(A595,liste!$A$9:$G$145,3,FALSE))</f>
        <v>#N/A</v>
      </c>
      <c r="B598" s="231"/>
      <c r="C598" s="231"/>
      <c r="D598" s="455"/>
      <c r="E598" s="455"/>
      <c r="F598" s="455"/>
      <c r="G598" s="455"/>
      <c r="H598" s="455"/>
      <c r="I598" s="455"/>
      <c r="J598" s="455"/>
      <c r="K598" s="425"/>
      <c r="L598" s="453" t="e">
        <f>IF(L595="","",VLOOKUP(L595,liste!$A$9:$G$145,3,FALSE))</f>
        <v>#N/A</v>
      </c>
      <c r="M598" s="231"/>
      <c r="N598" s="231"/>
      <c r="O598" s="454"/>
      <c r="P598" s="454"/>
      <c r="Q598" s="454"/>
      <c r="R598" s="454"/>
      <c r="S598" s="454"/>
      <c r="T598" s="456"/>
      <c r="U598" s="454"/>
    </row>
    <row r="599" spans="1:21" s="232" customFormat="1" ht="12.75" x14ac:dyDescent="0.2">
      <c r="A599" s="425"/>
      <c r="B599" s="231"/>
      <c r="C599" s="231"/>
      <c r="D599" s="458"/>
      <c r="E599" s="458"/>
      <c r="F599" s="458"/>
      <c r="G599" s="458"/>
      <c r="H599" s="458"/>
      <c r="I599" s="458"/>
      <c r="J599" s="458"/>
      <c r="K599" s="425"/>
      <c r="L599" s="425"/>
      <c r="M599" s="231"/>
      <c r="N599" s="231"/>
      <c r="O599" s="457"/>
      <c r="P599" s="457"/>
      <c r="Q599" s="457"/>
      <c r="R599" s="457"/>
      <c r="S599" s="457"/>
      <c r="T599" s="459"/>
      <c r="U599" s="457"/>
    </row>
    <row r="600" spans="1:21" s="232" customFormat="1" ht="12.75" x14ac:dyDescent="0.2">
      <c r="A600" s="425"/>
      <c r="B600" s="231"/>
      <c r="C600" s="231"/>
      <c r="D600" s="231"/>
      <c r="E600" s="231"/>
      <c r="F600" s="231"/>
      <c r="G600" s="231"/>
      <c r="H600" s="231"/>
      <c r="I600" s="231"/>
      <c r="J600" s="428"/>
      <c r="K600" s="425"/>
      <c r="L600" s="425"/>
      <c r="M600" s="231"/>
      <c r="N600" s="231"/>
      <c r="O600" s="231"/>
      <c r="P600" s="231"/>
      <c r="Q600" s="231"/>
      <c r="R600" s="231"/>
      <c r="S600" s="231"/>
      <c r="T600" s="231"/>
      <c r="U600" s="428"/>
    </row>
    <row r="601" spans="1:21" s="232" customFormat="1" ht="20.100000000000001" customHeight="1" x14ac:dyDescent="0.2">
      <c r="A601" s="988" t="s">
        <v>90</v>
      </c>
      <c r="B601" s="989"/>
      <c r="C601" s="989"/>
      <c r="D601" s="461" t="s">
        <v>77</v>
      </c>
      <c r="E601" s="461" t="s">
        <v>87</v>
      </c>
      <c r="F601" s="461" t="s">
        <v>88</v>
      </c>
      <c r="G601" s="231"/>
      <c r="H601" s="231"/>
      <c r="I601" s="231"/>
      <c r="J601" s="428"/>
      <c r="K601" s="425"/>
      <c r="L601" s="988" t="s">
        <v>90</v>
      </c>
      <c r="M601" s="989"/>
      <c r="N601" s="989"/>
      <c r="O601" s="461" t="s">
        <v>77</v>
      </c>
      <c r="P601" s="461" t="s">
        <v>87</v>
      </c>
      <c r="Q601" s="461" t="s">
        <v>88</v>
      </c>
      <c r="R601" s="231"/>
      <c r="S601" s="231"/>
      <c r="T601" s="231"/>
      <c r="U601" s="428"/>
    </row>
    <row r="602" spans="1:21" s="232" customFormat="1" ht="20.100000000000001" customHeight="1" x14ac:dyDescent="0.2">
      <c r="A602" s="462" t="e">
        <f>A591</f>
        <v>#N/A</v>
      </c>
      <c r="B602" s="426"/>
      <c r="C602" s="449"/>
      <c r="D602" s="448"/>
      <c r="E602" s="448"/>
      <c r="F602" s="448"/>
      <c r="G602" s="231"/>
      <c r="H602" s="231"/>
      <c r="I602" s="231"/>
      <c r="J602" s="428"/>
      <c r="K602" s="425"/>
      <c r="L602" s="462" t="e">
        <f>L591</f>
        <v>#N/A</v>
      </c>
      <c r="M602" s="426"/>
      <c r="N602" s="449"/>
      <c r="O602" s="448"/>
      <c r="P602" s="448"/>
      <c r="Q602" s="448"/>
      <c r="R602" s="231"/>
      <c r="S602" s="231"/>
      <c r="T602" s="231"/>
      <c r="U602" s="428"/>
    </row>
    <row r="603" spans="1:21" s="232" customFormat="1" ht="20.100000000000001" customHeight="1" x14ac:dyDescent="0.2">
      <c r="A603" s="463"/>
      <c r="B603" s="233"/>
      <c r="C603" s="452"/>
      <c r="D603" s="451"/>
      <c r="E603" s="451"/>
      <c r="F603" s="451"/>
      <c r="G603" s="231"/>
      <c r="H603" s="231"/>
      <c r="I603" s="231"/>
      <c r="J603" s="428"/>
      <c r="K603" s="425"/>
      <c r="L603" s="463"/>
      <c r="M603" s="233"/>
      <c r="N603" s="452"/>
      <c r="O603" s="451"/>
      <c r="P603" s="451"/>
      <c r="Q603" s="451"/>
      <c r="R603" s="231"/>
      <c r="S603" s="231"/>
      <c r="T603" s="231"/>
      <c r="U603" s="428"/>
    </row>
    <row r="604" spans="1:21" s="232" customFormat="1" ht="20.100000000000001" customHeight="1" x14ac:dyDescent="0.2">
      <c r="A604" s="462" t="e">
        <f>A596</f>
        <v>#N/A</v>
      </c>
      <c r="B604" s="426"/>
      <c r="C604" s="449"/>
      <c r="D604" s="448"/>
      <c r="E604" s="448"/>
      <c r="F604" s="448"/>
      <c r="G604" s="231"/>
      <c r="H604" s="231"/>
      <c r="I604" s="231"/>
      <c r="J604" s="428"/>
      <c r="K604" s="425"/>
      <c r="L604" s="462" t="e">
        <f>L596</f>
        <v>#N/A</v>
      </c>
      <c r="M604" s="426"/>
      <c r="N604" s="449"/>
      <c r="O604" s="448"/>
      <c r="P604" s="448"/>
      <c r="Q604" s="448"/>
      <c r="R604" s="231"/>
      <c r="S604" s="231"/>
      <c r="T604" s="231"/>
      <c r="U604" s="428"/>
    </row>
    <row r="605" spans="1:21" s="232" customFormat="1" ht="20.100000000000001" customHeight="1" x14ac:dyDescent="0.2">
      <c r="A605" s="463"/>
      <c r="B605" s="233"/>
      <c r="C605" s="452"/>
      <c r="D605" s="451"/>
      <c r="E605" s="451"/>
      <c r="F605" s="451"/>
      <c r="G605" s="231"/>
      <c r="H605" s="231"/>
      <c r="I605" s="231"/>
      <c r="J605" s="428"/>
      <c r="K605" s="425"/>
      <c r="L605" s="463"/>
      <c r="M605" s="233"/>
      <c r="N605" s="452"/>
      <c r="O605" s="451"/>
      <c r="P605" s="451"/>
      <c r="Q605" s="451"/>
      <c r="R605" s="231"/>
      <c r="S605" s="231"/>
      <c r="T605" s="231"/>
      <c r="U605" s="428"/>
    </row>
    <row r="606" spans="1:21" s="232" customFormat="1" ht="12.75" x14ac:dyDescent="0.2">
      <c r="A606" s="464" t="s">
        <v>91</v>
      </c>
      <c r="B606" s="231"/>
      <c r="C606" s="231"/>
      <c r="D606" s="231"/>
      <c r="E606" s="231"/>
      <c r="F606" s="231"/>
      <c r="G606" s="231"/>
      <c r="H606" s="231"/>
      <c r="I606" s="231"/>
      <c r="J606" s="428"/>
      <c r="K606" s="425"/>
      <c r="L606" s="464" t="s">
        <v>91</v>
      </c>
      <c r="M606" s="231"/>
      <c r="N606" s="231"/>
      <c r="O606" s="231"/>
      <c r="P606" s="231"/>
      <c r="Q606" s="231"/>
      <c r="R606" s="231"/>
      <c r="S606" s="231"/>
      <c r="T606" s="231"/>
      <c r="U606" s="428"/>
    </row>
    <row r="607" spans="1:21" s="232" customFormat="1" ht="12.75" x14ac:dyDescent="0.2">
      <c r="A607" s="425"/>
      <c r="B607" s="231"/>
      <c r="C607" s="231"/>
      <c r="D607" s="231"/>
      <c r="E607" s="231"/>
      <c r="F607" s="231"/>
      <c r="G607" s="231"/>
      <c r="H607" s="231"/>
      <c r="I607" s="231"/>
      <c r="J607" s="428"/>
      <c r="K607" s="425"/>
      <c r="L607" s="425"/>
      <c r="M607" s="231"/>
      <c r="N607" s="231"/>
      <c r="O607" s="231"/>
      <c r="P607" s="231"/>
      <c r="Q607" s="231"/>
      <c r="R607" s="231"/>
      <c r="S607" s="231"/>
      <c r="T607" s="231"/>
      <c r="U607" s="428"/>
    </row>
    <row r="608" spans="1:21" s="232" customFormat="1" ht="12.75" x14ac:dyDescent="0.2">
      <c r="A608" s="465" t="s">
        <v>89</v>
      </c>
      <c r="B608" s="233"/>
      <c r="C608" s="233"/>
      <c r="D608" s="233"/>
      <c r="E608" s="233"/>
      <c r="F608" s="233"/>
      <c r="G608" s="233"/>
      <c r="H608" s="233"/>
      <c r="I608" s="233"/>
      <c r="J608" s="452"/>
      <c r="K608" s="425"/>
      <c r="L608" s="465" t="s">
        <v>89</v>
      </c>
      <c r="M608" s="233"/>
      <c r="N608" s="233"/>
      <c r="O608" s="233"/>
      <c r="P608" s="233"/>
      <c r="Q608" s="233"/>
      <c r="R608" s="233"/>
      <c r="S608" s="233"/>
      <c r="T608" s="233"/>
      <c r="U608" s="452"/>
    </row>
    <row r="609" spans="1:21" s="232" customFormat="1" ht="30" customHeight="1" x14ac:dyDescent="0.2"/>
    <row r="610" spans="1:21" s="232" customFormat="1" ht="30" customHeight="1" x14ac:dyDescent="0.2"/>
    <row r="611" spans="1:21" s="232" customFormat="1" ht="20.100000000000001" customHeight="1" x14ac:dyDescent="0.2">
      <c r="A611" s="1005" t="str">
        <f>$A$1</f>
        <v>Circuit décathlon</v>
      </c>
      <c r="B611" s="1006"/>
      <c r="C611" s="1006"/>
      <c r="D611" s="1006"/>
      <c r="E611" s="1006"/>
      <c r="F611" s="1006"/>
      <c r="G611" s="1006"/>
      <c r="H611" s="1006"/>
      <c r="I611" s="1006"/>
      <c r="J611" s="1007"/>
      <c r="K611" s="425"/>
      <c r="L611" s="1005" t="str">
        <f>$A$1</f>
        <v>Circuit décathlon</v>
      </c>
      <c r="M611" s="1006"/>
      <c r="N611" s="1006"/>
      <c r="O611" s="1006"/>
      <c r="P611" s="1006"/>
      <c r="Q611" s="1006"/>
      <c r="R611" s="1006"/>
      <c r="S611" s="1006"/>
      <c r="T611" s="426"/>
      <c r="U611" s="449"/>
    </row>
    <row r="612" spans="1:21" s="232" customFormat="1" ht="15.75" x14ac:dyDescent="0.2">
      <c r="A612" s="425"/>
      <c r="B612" s="231"/>
      <c r="C612" s="231"/>
      <c r="D612" s="427" t="s">
        <v>83</v>
      </c>
      <c r="E612" s="474">
        <f>Rens!F44</f>
        <v>0</v>
      </c>
      <c r="F612" s="474"/>
      <c r="G612" s="231"/>
      <c r="H612" s="231"/>
      <c r="I612" s="231"/>
      <c r="J612" s="428"/>
      <c r="K612" s="425"/>
      <c r="L612" s="425"/>
      <c r="M612" s="231"/>
      <c r="N612" s="231"/>
      <c r="O612" s="427" t="s">
        <v>83</v>
      </c>
      <c r="P612" s="474">
        <f>Rens!F45</f>
        <v>0</v>
      </c>
      <c r="Q612" s="474"/>
      <c r="R612" s="231"/>
      <c r="S612" s="231"/>
      <c r="T612" s="231"/>
      <c r="U612" s="428"/>
    </row>
    <row r="613" spans="1:21" s="343" customFormat="1" ht="18.75" x14ac:dyDescent="0.2">
      <c r="A613" s="429" t="s">
        <v>84</v>
      </c>
      <c r="B613" s="430" t="str">
        <f>$B$3</f>
        <v>Minimes</v>
      </c>
      <c r="C613" s="345"/>
      <c r="D613" s="345"/>
      <c r="E613" s="345"/>
      <c r="F613" s="345"/>
      <c r="G613" s="345"/>
      <c r="H613" s="345"/>
      <c r="I613" s="345"/>
      <c r="J613" s="431"/>
      <c r="K613" s="432"/>
      <c r="L613" s="429" t="s">
        <v>84</v>
      </c>
      <c r="M613" s="430" t="str">
        <f>$B$3</f>
        <v>Minimes</v>
      </c>
      <c r="N613" s="345"/>
      <c r="O613" s="345"/>
      <c r="P613" s="345"/>
      <c r="Q613" s="345"/>
      <c r="R613" s="345"/>
      <c r="S613" s="345"/>
      <c r="T613" s="345"/>
      <c r="U613" s="431"/>
    </row>
    <row r="614" spans="1:21" s="343" customFormat="1" ht="18.75" x14ac:dyDescent="0.2">
      <c r="A614" s="997" t="s">
        <v>224</v>
      </c>
      <c r="B614" s="998"/>
      <c r="C614" s="998"/>
      <c r="D614" s="998"/>
      <c r="E614" s="345"/>
      <c r="F614" s="345"/>
      <c r="G614" s="430" t="str">
        <f>Rens!E44</f>
        <v>battu W/X</v>
      </c>
      <c r="H614" s="430"/>
      <c r="I614" s="345"/>
      <c r="J614" s="431"/>
      <c r="K614" s="432"/>
      <c r="L614" s="997" t="str">
        <f>A614</f>
        <v>Places 21 à 24</v>
      </c>
      <c r="M614" s="998"/>
      <c r="N614" s="998"/>
      <c r="O614" s="998"/>
      <c r="P614" s="345"/>
      <c r="Q614" s="345"/>
      <c r="R614" s="466" t="str">
        <f>Rens!E45</f>
        <v>battu Y/Z</v>
      </c>
      <c r="S614" s="430"/>
      <c r="T614" s="466"/>
      <c r="U614" s="433"/>
    </row>
    <row r="615" spans="1:21" s="343" customFormat="1" ht="23.25" x14ac:dyDescent="0.2">
      <c r="A615" s="432"/>
      <c r="B615" s="434">
        <f>Tableau!AB36</f>
        <v>0</v>
      </c>
      <c r="C615" s="345"/>
      <c r="D615" s="345"/>
      <c r="E615" s="344" t="s">
        <v>178</v>
      </c>
      <c r="F615" s="234">
        <f>Rens!G44</f>
        <v>0</v>
      </c>
      <c r="G615" s="345"/>
      <c r="H615" s="345"/>
      <c r="I615" s="345"/>
      <c r="J615" s="431"/>
      <c r="K615" s="432"/>
      <c r="L615" s="432"/>
      <c r="M615" s="434">
        <f>Tableau!AB32</f>
        <v>0</v>
      </c>
      <c r="N615" s="345"/>
      <c r="O615" s="345"/>
      <c r="P615" s="344" t="s">
        <v>178</v>
      </c>
      <c r="Q615" s="234">
        <f>Rens!G45</f>
        <v>0</v>
      </c>
      <c r="R615" s="345"/>
      <c r="S615" s="345"/>
      <c r="T615" s="345"/>
      <c r="U615" s="431"/>
    </row>
    <row r="616" spans="1:21" s="442" customFormat="1" ht="15.75" x14ac:dyDescent="0.2">
      <c r="A616" s="435" t="s">
        <v>85</v>
      </c>
      <c r="B616" s="436" t="e">
        <f>IF(B615="","",VLOOKUP(B615,liste!$A$9:$G$145,2,FALSE))</f>
        <v>#N/A</v>
      </c>
      <c r="C616" s="437"/>
      <c r="D616" s="437"/>
      <c r="E616" s="437"/>
      <c r="F616" s="437"/>
      <c r="G616" s="437"/>
      <c r="H616" s="437"/>
      <c r="I616" s="438"/>
      <c r="J616" s="439"/>
      <c r="K616" s="440"/>
      <c r="L616" s="435" t="s">
        <v>85</v>
      </c>
      <c r="M616" s="436" t="e">
        <f>IF(M615="","",VLOOKUP(M615,liste!$A$9:$G$145,2,FALSE))</f>
        <v>#N/A</v>
      </c>
      <c r="N616" s="437"/>
      <c r="O616" s="437"/>
      <c r="P616" s="437"/>
      <c r="Q616" s="437"/>
      <c r="R616" s="437"/>
      <c r="S616" s="437"/>
      <c r="T616" s="437"/>
      <c r="U616" s="441"/>
    </row>
    <row r="617" spans="1:21" s="232" customFormat="1" ht="20.100000000000001" customHeight="1" x14ac:dyDescent="0.2">
      <c r="A617" s="425"/>
      <c r="D617" s="999" t="s">
        <v>19</v>
      </c>
      <c r="E617" s="1000"/>
      <c r="F617" s="1000"/>
      <c r="G617" s="1000"/>
      <c r="H617" s="1000"/>
      <c r="I617" s="1000"/>
      <c r="J617" s="1001"/>
      <c r="K617" s="425"/>
      <c r="L617" s="443"/>
      <c r="M617" s="444"/>
      <c r="N617" s="444"/>
      <c r="O617" s="1002" t="s">
        <v>19</v>
      </c>
      <c r="P617" s="1003"/>
      <c r="Q617" s="1003"/>
      <c r="R617" s="1003"/>
      <c r="S617" s="1003"/>
      <c r="T617" s="1003"/>
      <c r="U617" s="1004"/>
    </row>
    <row r="618" spans="1:21" s="232" customFormat="1" ht="20.100000000000001" customHeight="1" x14ac:dyDescent="0.2">
      <c r="A618" s="992" t="s">
        <v>86</v>
      </c>
      <c r="B618" s="993"/>
      <c r="C618" s="993"/>
      <c r="D618" s="467">
        <v>1</v>
      </c>
      <c r="E618" s="467">
        <v>2</v>
      </c>
      <c r="F618" s="467">
        <v>3</v>
      </c>
      <c r="G618" s="467">
        <v>4</v>
      </c>
      <c r="H618" s="467">
        <v>5</v>
      </c>
      <c r="I618" s="467">
        <v>6</v>
      </c>
      <c r="J618" s="467">
        <v>7</v>
      </c>
      <c r="K618" s="425"/>
      <c r="L618" s="992" t="s">
        <v>86</v>
      </c>
      <c r="M618" s="993"/>
      <c r="N618" s="993"/>
      <c r="O618" s="445">
        <v>1</v>
      </c>
      <c r="P618" s="445">
        <v>2</v>
      </c>
      <c r="Q618" s="445">
        <v>3</v>
      </c>
      <c r="R618" s="445">
        <v>4</v>
      </c>
      <c r="S618" s="446">
        <v>5</v>
      </c>
      <c r="T618" s="497">
        <v>6</v>
      </c>
      <c r="U618" s="446">
        <v>7</v>
      </c>
    </row>
    <row r="619" spans="1:21" s="232" customFormat="1" ht="20.100000000000001" customHeight="1" x14ac:dyDescent="0.2">
      <c r="A619" s="500"/>
      <c r="B619" s="501"/>
      <c r="C619" s="501"/>
      <c r="D619" s="994" t="s">
        <v>92</v>
      </c>
      <c r="E619" s="995"/>
      <c r="F619" s="995"/>
      <c r="G619" s="995"/>
      <c r="H619" s="995"/>
      <c r="I619" s="995"/>
      <c r="J619" s="996"/>
      <c r="K619" s="425"/>
      <c r="L619" s="500"/>
      <c r="M619" s="501"/>
      <c r="N619" s="501"/>
      <c r="O619" s="994" t="s">
        <v>92</v>
      </c>
      <c r="P619" s="995"/>
      <c r="Q619" s="995"/>
      <c r="R619" s="995"/>
      <c r="S619" s="995"/>
      <c r="T619" s="995"/>
      <c r="U619" s="996"/>
    </row>
    <row r="620" spans="1:21" s="232" customFormat="1" ht="18.75" x14ac:dyDescent="0.2">
      <c r="A620" s="498" t="str">
        <f>Tableau!L65</f>
        <v/>
      </c>
      <c r="C620" s="231"/>
      <c r="D620" s="448"/>
      <c r="E620" s="448"/>
      <c r="F620" s="448"/>
      <c r="G620" s="448"/>
      <c r="H620" s="448"/>
      <c r="I620" s="448"/>
      <c r="J620" s="448"/>
      <c r="K620" s="425"/>
      <c r="L620" s="498" t="str">
        <f>Tableau!L69</f>
        <v/>
      </c>
      <c r="M620" s="231"/>
      <c r="N620" s="231"/>
      <c r="O620" s="448"/>
      <c r="P620" s="448"/>
      <c r="Q620" s="448"/>
      <c r="R620" s="448"/>
      <c r="S620" s="448"/>
      <c r="T620" s="449"/>
      <c r="U620" s="448"/>
    </row>
    <row r="621" spans="1:21" s="232" customFormat="1" ht="20.100000000000001" customHeight="1" x14ac:dyDescent="0.2">
      <c r="A621" s="990" t="str">
        <f>IF(A620="","",VLOOKUP(A620,liste!$A$9:$G$145,2,FALSE))</f>
        <v/>
      </c>
      <c r="B621" s="991" t="s">
        <v>288</v>
      </c>
      <c r="C621" s="991" t="s">
        <v>288</v>
      </c>
      <c r="D621" s="447"/>
      <c r="E621" s="447"/>
      <c r="F621" s="447"/>
      <c r="G621" s="447"/>
      <c r="H621" s="447"/>
      <c r="I621" s="447"/>
      <c r="J621" s="447"/>
      <c r="K621" s="425"/>
      <c r="L621" s="990" t="str">
        <f>IF(L620="","",VLOOKUP(L620,liste!$A$9:$G$145,2,FALSE))</f>
        <v/>
      </c>
      <c r="M621" s="991" t="s">
        <v>288</v>
      </c>
      <c r="N621" s="991" t="s">
        <v>288</v>
      </c>
      <c r="O621" s="447"/>
      <c r="P621" s="447"/>
      <c r="Q621" s="447"/>
      <c r="R621" s="447"/>
      <c r="S621" s="447"/>
      <c r="T621" s="428"/>
      <c r="U621" s="447"/>
    </row>
    <row r="622" spans="1:21" s="232" customFormat="1" ht="20.100000000000001" customHeight="1" x14ac:dyDescent="0.2">
      <c r="A622" s="440"/>
      <c r="B622" s="438"/>
      <c r="C622" s="450" t="str">
        <f>IF(A620="","",VLOOKUP(A620,liste!$A$9:$G$145,4,FALSE))</f>
        <v/>
      </c>
      <c r="D622" s="451"/>
      <c r="E622" s="451"/>
      <c r="F622" s="451"/>
      <c r="G622" s="451"/>
      <c r="H622" s="451"/>
      <c r="I622" s="451"/>
      <c r="J622" s="451"/>
      <c r="K622" s="425"/>
      <c r="L622" s="440"/>
      <c r="M622" s="438"/>
      <c r="N622" s="450" t="str">
        <f>IF(L620="","",VLOOKUP(L620,liste!$A$9:$G$145,4,FALSE))</f>
        <v/>
      </c>
      <c r="O622" s="451"/>
      <c r="P622" s="451"/>
      <c r="Q622" s="451"/>
      <c r="R622" s="451"/>
      <c r="S622" s="451"/>
      <c r="T622" s="452"/>
      <c r="U622" s="451"/>
    </row>
    <row r="623" spans="1:21" s="232" customFormat="1" ht="15.75" x14ac:dyDescent="0.2">
      <c r="A623" s="468" t="str">
        <f>IF(A620="","",VLOOKUP(A620,liste!$A$9:$G$145,3,FALSE))</f>
        <v/>
      </c>
      <c r="B623" s="438"/>
      <c r="C623" s="438"/>
      <c r="D623" s="455"/>
      <c r="E623" s="455"/>
      <c r="F623" s="455"/>
      <c r="G623" s="455"/>
      <c r="H623" s="455"/>
      <c r="I623" s="455"/>
      <c r="J623" s="455"/>
      <c r="K623" s="425"/>
      <c r="L623" s="468" t="str">
        <f>IF(L620="","",VLOOKUP(L620,liste!$A$9:$G$145,3,FALSE))</f>
        <v/>
      </c>
      <c r="M623" s="438"/>
      <c r="N623" s="438"/>
      <c r="O623" s="454"/>
      <c r="P623" s="454"/>
      <c r="Q623" s="454"/>
      <c r="R623" s="454"/>
      <c r="S623" s="454"/>
      <c r="T623" s="456"/>
      <c r="U623" s="454"/>
    </row>
    <row r="624" spans="1:21" s="232" customFormat="1" ht="12.75" x14ac:dyDescent="0.2">
      <c r="A624" s="425"/>
      <c r="B624" s="230" t="s">
        <v>9</v>
      </c>
      <c r="C624" s="231"/>
      <c r="D624" s="458"/>
      <c r="E624" s="458"/>
      <c r="F624" s="458"/>
      <c r="G624" s="458"/>
      <c r="H624" s="458"/>
      <c r="I624" s="458"/>
      <c r="J624" s="458"/>
      <c r="K624" s="425"/>
      <c r="L624" s="425"/>
      <c r="M624" s="230" t="s">
        <v>9</v>
      </c>
      <c r="N624" s="231"/>
      <c r="O624" s="457"/>
      <c r="P624" s="457"/>
      <c r="Q624" s="457"/>
      <c r="R624" s="457"/>
      <c r="S624" s="457"/>
      <c r="T624" s="459"/>
      <c r="U624" s="457"/>
    </row>
    <row r="625" spans="1:21" s="232" customFormat="1" ht="18.75" x14ac:dyDescent="0.2">
      <c r="A625" s="498" t="str">
        <f>Tableau!L67</f>
        <v/>
      </c>
      <c r="B625" s="469"/>
      <c r="C625" s="231"/>
      <c r="D625" s="448"/>
      <c r="E625" s="448"/>
      <c r="F625" s="448"/>
      <c r="G625" s="448"/>
      <c r="H625" s="448"/>
      <c r="I625" s="448"/>
      <c r="J625" s="448"/>
      <c r="K625" s="425"/>
      <c r="L625" s="498" t="str">
        <f>Tableau!L71</f>
        <v/>
      </c>
      <c r="M625" s="231"/>
      <c r="N625" s="231"/>
      <c r="O625" s="448"/>
      <c r="P625" s="448"/>
      <c r="Q625" s="448"/>
      <c r="R625" s="448"/>
      <c r="S625" s="448"/>
      <c r="T625" s="449"/>
      <c r="U625" s="448"/>
    </row>
    <row r="626" spans="1:21" s="232" customFormat="1" ht="20.100000000000001" customHeight="1" x14ac:dyDescent="0.2">
      <c r="A626" s="990" t="str">
        <f>IF(A625="","",VLOOKUP(A625,liste!$A$9:$G$145,2,FALSE))</f>
        <v/>
      </c>
      <c r="B626" s="991" t="s">
        <v>288</v>
      </c>
      <c r="C626" s="991" t="s">
        <v>288</v>
      </c>
      <c r="D626" s="447"/>
      <c r="E626" s="447"/>
      <c r="F626" s="447"/>
      <c r="G626" s="447"/>
      <c r="H626" s="447"/>
      <c r="I626" s="447"/>
      <c r="J626" s="447"/>
      <c r="K626" s="425"/>
      <c r="L626" s="990" t="str">
        <f>IF(L625="","",VLOOKUP(L625,liste!$A$9:$G$145,2,FALSE))</f>
        <v/>
      </c>
      <c r="M626" s="991" t="s">
        <v>288</v>
      </c>
      <c r="N626" s="991" t="s">
        <v>288</v>
      </c>
      <c r="O626" s="447"/>
      <c r="P626" s="447"/>
      <c r="Q626" s="447"/>
      <c r="R626" s="447"/>
      <c r="S626" s="447"/>
      <c r="T626" s="428"/>
      <c r="U626" s="447"/>
    </row>
    <row r="627" spans="1:21" s="232" customFormat="1" ht="20.100000000000001" customHeight="1" x14ac:dyDescent="0.2">
      <c r="A627" s="440"/>
      <c r="B627" s="438"/>
      <c r="C627" s="450" t="str">
        <f>IF(A625="","",VLOOKUP(A625,liste!$A$9:$G$145,4,FALSE))</f>
        <v/>
      </c>
      <c r="D627" s="451"/>
      <c r="E627" s="451"/>
      <c r="F627" s="451"/>
      <c r="G627" s="451"/>
      <c r="H627" s="451"/>
      <c r="I627" s="451"/>
      <c r="J627" s="451"/>
      <c r="K627" s="425"/>
      <c r="L627" s="440"/>
      <c r="M627" s="438"/>
      <c r="N627" s="450" t="str">
        <f>IF(L625="","",VLOOKUP(L625,liste!$A$9:$G$145,4,FALSE))</f>
        <v/>
      </c>
      <c r="O627" s="451"/>
      <c r="P627" s="451"/>
      <c r="Q627" s="451"/>
      <c r="R627" s="451"/>
      <c r="S627" s="451"/>
      <c r="T627" s="452"/>
      <c r="U627" s="451"/>
    </row>
    <row r="628" spans="1:21" s="232" customFormat="1" ht="15.75" x14ac:dyDescent="0.2">
      <c r="A628" s="473" t="str">
        <f>IF(A625="","",VLOOKUP(A625,liste!$A$9:$G$145,3,FALSE))</f>
        <v/>
      </c>
      <c r="B628" s="438"/>
      <c r="C628" s="438"/>
      <c r="D628" s="455"/>
      <c r="E628" s="455"/>
      <c r="F628" s="455"/>
      <c r="G628" s="455"/>
      <c r="H628" s="455"/>
      <c r="I628" s="455"/>
      <c r="J628" s="455"/>
      <c r="K628" s="425"/>
      <c r="L628" s="468" t="str">
        <f>IF(L625="","",VLOOKUP(L625,liste!$A$9:$G$145,3,FALSE))</f>
        <v/>
      </c>
      <c r="M628" s="438"/>
      <c r="N628" s="438"/>
      <c r="O628" s="454"/>
      <c r="P628" s="454"/>
      <c r="Q628" s="454"/>
      <c r="R628" s="454"/>
      <c r="S628" s="454"/>
      <c r="T628" s="456"/>
      <c r="U628" s="454"/>
    </row>
    <row r="629" spans="1:21" s="232" customFormat="1" ht="12.75" x14ac:dyDescent="0.2">
      <c r="A629" s="425"/>
      <c r="B629" s="231"/>
      <c r="C629" s="231"/>
      <c r="D629" s="458"/>
      <c r="E629" s="458"/>
      <c r="F629" s="458"/>
      <c r="G629" s="458"/>
      <c r="H629" s="458"/>
      <c r="I629" s="458"/>
      <c r="J629" s="458"/>
      <c r="K629" s="425"/>
      <c r="L629" s="425"/>
      <c r="M629" s="231"/>
      <c r="N629" s="231"/>
      <c r="O629" s="457"/>
      <c r="P629" s="457"/>
      <c r="Q629" s="457"/>
      <c r="R629" s="457"/>
      <c r="S629" s="457"/>
      <c r="T629" s="459"/>
      <c r="U629" s="457"/>
    </row>
    <row r="630" spans="1:21" s="232" customFormat="1" ht="12.75" x14ac:dyDescent="0.2">
      <c r="A630" s="425"/>
      <c r="B630" s="231"/>
      <c r="C630" s="231"/>
      <c r="D630" s="231"/>
      <c r="E630" s="231"/>
      <c r="F630" s="231"/>
      <c r="G630" s="231"/>
      <c r="H630" s="231"/>
      <c r="I630" s="231"/>
      <c r="J630" s="428"/>
      <c r="K630" s="425"/>
      <c r="L630" s="425"/>
      <c r="M630" s="231"/>
      <c r="N630" s="231"/>
      <c r="O630" s="231"/>
      <c r="P630" s="231"/>
      <c r="Q630" s="231"/>
      <c r="R630" s="231"/>
      <c r="S630" s="231"/>
      <c r="T630" s="231"/>
      <c r="U630" s="428"/>
    </row>
    <row r="631" spans="1:21" s="232" customFormat="1" ht="20.100000000000001" customHeight="1" x14ac:dyDescent="0.2">
      <c r="A631" s="988" t="s">
        <v>90</v>
      </c>
      <c r="B631" s="989"/>
      <c r="C631" s="989"/>
      <c r="D631" s="461" t="s">
        <v>77</v>
      </c>
      <c r="E631" s="461" t="s">
        <v>87</v>
      </c>
      <c r="F631" s="461" t="s">
        <v>88</v>
      </c>
      <c r="G631" s="231"/>
      <c r="H631" s="231"/>
      <c r="I631" s="231"/>
      <c r="J631" s="428"/>
      <c r="K631" s="425"/>
      <c r="L631" s="988" t="s">
        <v>90</v>
      </c>
      <c r="M631" s="989"/>
      <c r="N631" s="989"/>
      <c r="O631" s="461" t="s">
        <v>77</v>
      </c>
      <c r="P631" s="461" t="s">
        <v>87</v>
      </c>
      <c r="Q631" s="461" t="s">
        <v>88</v>
      </c>
      <c r="R631" s="231"/>
      <c r="S631" s="231"/>
      <c r="T631" s="231"/>
      <c r="U631" s="428"/>
    </row>
    <row r="632" spans="1:21" s="232" customFormat="1" ht="20.100000000000001" customHeight="1" x14ac:dyDescent="0.2">
      <c r="A632" s="462" t="str">
        <f>A621</f>
        <v/>
      </c>
      <c r="B632" s="426"/>
      <c r="C632" s="449"/>
      <c r="D632" s="448"/>
      <c r="E632" s="448"/>
      <c r="F632" s="448"/>
      <c r="G632" s="231"/>
      <c r="H632" s="231"/>
      <c r="I632" s="231"/>
      <c r="J632" s="428"/>
      <c r="K632" s="425"/>
      <c r="L632" s="462" t="str">
        <f>L621</f>
        <v/>
      </c>
      <c r="M632" s="426"/>
      <c r="N632" s="449"/>
      <c r="O632" s="448"/>
      <c r="P632" s="448"/>
      <c r="Q632" s="448"/>
      <c r="R632" s="231"/>
      <c r="S632" s="231"/>
      <c r="T632" s="231"/>
      <c r="U632" s="428"/>
    </row>
    <row r="633" spans="1:21" s="232" customFormat="1" ht="20.100000000000001" customHeight="1" x14ac:dyDescent="0.2">
      <c r="A633" s="463"/>
      <c r="B633" s="233"/>
      <c r="C633" s="452"/>
      <c r="D633" s="451"/>
      <c r="E633" s="451"/>
      <c r="F633" s="451"/>
      <c r="G633" s="231"/>
      <c r="H633" s="231"/>
      <c r="I633" s="231"/>
      <c r="J633" s="428"/>
      <c r="K633" s="425"/>
      <c r="L633" s="463"/>
      <c r="M633" s="233"/>
      <c r="N633" s="452"/>
      <c r="O633" s="451"/>
      <c r="P633" s="451"/>
      <c r="Q633" s="451"/>
      <c r="R633" s="231"/>
      <c r="S633" s="231"/>
      <c r="T633" s="231"/>
      <c r="U633" s="428"/>
    </row>
    <row r="634" spans="1:21" s="232" customFormat="1" ht="20.100000000000001" customHeight="1" x14ac:dyDescent="0.2">
      <c r="A634" s="462" t="str">
        <f>A626</f>
        <v/>
      </c>
      <c r="B634" s="426"/>
      <c r="C634" s="449"/>
      <c r="D634" s="448"/>
      <c r="E634" s="448"/>
      <c r="F634" s="448"/>
      <c r="G634" s="231"/>
      <c r="H634" s="231"/>
      <c r="I634" s="231"/>
      <c r="J634" s="428"/>
      <c r="K634" s="425"/>
      <c r="L634" s="462" t="str">
        <f>L626</f>
        <v/>
      </c>
      <c r="M634" s="426"/>
      <c r="N634" s="449"/>
      <c r="O634" s="448"/>
      <c r="P634" s="448"/>
      <c r="Q634" s="448"/>
      <c r="R634" s="231"/>
      <c r="S634" s="231"/>
      <c r="T634" s="231"/>
      <c r="U634" s="428"/>
    </row>
    <row r="635" spans="1:21" s="232" customFormat="1" ht="20.100000000000001" customHeight="1" x14ac:dyDescent="0.2">
      <c r="A635" s="463"/>
      <c r="B635" s="233"/>
      <c r="C635" s="452"/>
      <c r="D635" s="451"/>
      <c r="E635" s="451"/>
      <c r="F635" s="451"/>
      <c r="G635" s="231"/>
      <c r="H635" s="231"/>
      <c r="I635" s="231"/>
      <c r="J635" s="428"/>
      <c r="K635" s="425"/>
      <c r="L635" s="463"/>
      <c r="M635" s="233"/>
      <c r="N635" s="452"/>
      <c r="O635" s="451"/>
      <c r="P635" s="451"/>
      <c r="Q635" s="451"/>
      <c r="R635" s="231"/>
      <c r="S635" s="231"/>
      <c r="T635" s="231"/>
      <c r="U635" s="428"/>
    </row>
    <row r="636" spans="1:21" s="232" customFormat="1" ht="12.75" x14ac:dyDescent="0.2">
      <c r="A636" s="464" t="s">
        <v>91</v>
      </c>
      <c r="B636" s="231"/>
      <c r="C636" s="231"/>
      <c r="D636" s="231"/>
      <c r="E636" s="231"/>
      <c r="F636" s="231"/>
      <c r="G636" s="231"/>
      <c r="H636" s="231"/>
      <c r="I636" s="231"/>
      <c r="J636" s="428"/>
      <c r="K636" s="425"/>
      <c r="L636" s="464" t="s">
        <v>91</v>
      </c>
      <c r="M636" s="231"/>
      <c r="N636" s="231"/>
      <c r="O636" s="231"/>
      <c r="P636" s="231"/>
      <c r="Q636" s="231"/>
      <c r="R636" s="231"/>
      <c r="S636" s="231"/>
      <c r="T636" s="231"/>
      <c r="U636" s="428"/>
    </row>
    <row r="637" spans="1:21" s="232" customFormat="1" ht="12.75" x14ac:dyDescent="0.2">
      <c r="A637" s="425"/>
      <c r="B637" s="231"/>
      <c r="C637" s="231"/>
      <c r="D637" s="231"/>
      <c r="E637" s="231"/>
      <c r="F637" s="231"/>
      <c r="G637" s="231"/>
      <c r="H637" s="231"/>
      <c r="I637" s="231"/>
      <c r="J637" s="428"/>
      <c r="K637" s="425"/>
      <c r="L637" s="425"/>
      <c r="M637" s="231"/>
      <c r="N637" s="231"/>
      <c r="O637" s="231"/>
      <c r="P637" s="231"/>
      <c r="Q637" s="231"/>
      <c r="R637" s="231"/>
      <c r="S637" s="231"/>
      <c r="T637" s="231"/>
      <c r="U637" s="428"/>
    </row>
    <row r="638" spans="1:21" s="232" customFormat="1" ht="12.75" x14ac:dyDescent="0.2">
      <c r="A638" s="465" t="s">
        <v>89</v>
      </c>
      <c r="B638" s="233"/>
      <c r="C638" s="233"/>
      <c r="D638" s="233"/>
      <c r="E638" s="233"/>
      <c r="F638" s="233"/>
      <c r="G638" s="233"/>
      <c r="H638" s="233"/>
      <c r="I638" s="233"/>
      <c r="J638" s="452"/>
      <c r="K638" s="425"/>
      <c r="L638" s="465" t="s">
        <v>89</v>
      </c>
      <c r="M638" s="233"/>
      <c r="N638" s="233"/>
      <c r="O638" s="233"/>
      <c r="P638" s="233"/>
      <c r="Q638" s="233"/>
      <c r="R638" s="233"/>
      <c r="S638" s="233"/>
      <c r="T638" s="233"/>
      <c r="U638" s="452"/>
    </row>
    <row r="639" spans="1:21" s="232" customFormat="1" ht="15.75" customHeight="1" x14ac:dyDescent="0.2">
      <c r="A639" s="1005" t="str">
        <f>$A$1</f>
        <v>Circuit décathlon</v>
      </c>
      <c r="B639" s="1006"/>
      <c r="C639" s="1006"/>
      <c r="D639" s="1006"/>
      <c r="E639" s="1006"/>
      <c r="F639" s="1006"/>
      <c r="G639" s="1006"/>
      <c r="H639" s="1006"/>
      <c r="I639" s="1006"/>
      <c r="J639" s="1007"/>
      <c r="K639" s="425"/>
      <c r="L639" s="1005" t="str">
        <f>$A$1</f>
        <v>Circuit décathlon</v>
      </c>
      <c r="M639" s="1006"/>
      <c r="N639" s="1006"/>
      <c r="O639" s="1006"/>
      <c r="P639" s="1006"/>
      <c r="Q639" s="1006"/>
      <c r="R639" s="1006"/>
      <c r="S639" s="1006"/>
      <c r="T639" s="426"/>
      <c r="U639" s="449"/>
    </row>
    <row r="640" spans="1:21" s="232" customFormat="1" ht="15.75" x14ac:dyDescent="0.2">
      <c r="A640" s="425"/>
      <c r="B640" s="231"/>
      <c r="C640" s="231"/>
      <c r="D640" s="427" t="s">
        <v>83</v>
      </c>
      <c r="E640" s="474">
        <f>Rens!F47</f>
        <v>0</v>
      </c>
      <c r="F640" s="231"/>
      <c r="G640" s="231"/>
      <c r="H640" s="231"/>
      <c r="I640" s="231"/>
      <c r="J640" s="428"/>
      <c r="K640" s="425"/>
      <c r="L640" s="425"/>
      <c r="M640" s="231"/>
      <c r="N640" s="231"/>
      <c r="O640" s="427" t="s">
        <v>83</v>
      </c>
      <c r="P640" s="474">
        <f>Rens!F48</f>
        <v>0</v>
      </c>
      <c r="Q640" s="231"/>
      <c r="R640" s="231"/>
      <c r="S640" s="231"/>
      <c r="T640" s="231"/>
      <c r="U640" s="428"/>
    </row>
    <row r="641" spans="1:21" s="232" customFormat="1" ht="18.75" x14ac:dyDescent="0.2">
      <c r="A641" s="429" t="s">
        <v>84</v>
      </c>
      <c r="B641" s="430" t="str">
        <f>$B$3</f>
        <v>Minimes</v>
      </c>
      <c r="C641" s="231"/>
      <c r="D641" s="231"/>
      <c r="E641" s="231"/>
      <c r="F641" s="231"/>
      <c r="G641" s="231"/>
      <c r="H641" s="231"/>
      <c r="I641" s="231"/>
      <c r="J641" s="428"/>
      <c r="K641" s="425"/>
      <c r="L641" s="429" t="s">
        <v>84</v>
      </c>
      <c r="M641" s="430" t="str">
        <f>$B$3</f>
        <v>Minimes</v>
      </c>
      <c r="N641" s="231"/>
      <c r="O641" s="231"/>
      <c r="P641" s="231"/>
      <c r="Q641" s="231"/>
      <c r="R641" s="231"/>
      <c r="S641" s="231"/>
      <c r="T641" s="231"/>
      <c r="U641" s="428"/>
    </row>
    <row r="642" spans="1:21" s="232" customFormat="1" ht="18.75" x14ac:dyDescent="0.2">
      <c r="A642" s="997" t="s">
        <v>222</v>
      </c>
      <c r="B642" s="998"/>
      <c r="C642" s="998"/>
      <c r="D642" s="998"/>
      <c r="E642" s="231"/>
      <c r="F642" s="231"/>
      <c r="G642" s="499" t="str">
        <f>Rens!E47</f>
        <v>O'</v>
      </c>
      <c r="H642" s="231"/>
      <c r="I642" s="231"/>
      <c r="J642" s="428"/>
      <c r="K642" s="425"/>
      <c r="L642" s="997" t="str">
        <f>A642</f>
        <v>Places 25 à 28</v>
      </c>
      <c r="M642" s="998"/>
      <c r="N642" s="998"/>
      <c r="O642" s="998"/>
      <c r="P642" s="231"/>
      <c r="Q642" s="231"/>
      <c r="R642" s="499" t="str">
        <f>Rens!E48</f>
        <v>S'</v>
      </c>
      <c r="S642" s="231"/>
      <c r="T642" s="499"/>
      <c r="U642" s="428"/>
    </row>
    <row r="643" spans="1:21" s="343" customFormat="1" ht="23.25" x14ac:dyDescent="0.2">
      <c r="A643" s="432"/>
      <c r="B643" s="434">
        <f>Tableau!AB26</f>
        <v>0</v>
      </c>
      <c r="C643" s="345"/>
      <c r="D643" s="345"/>
      <c r="E643" s="344" t="s">
        <v>178</v>
      </c>
      <c r="F643" s="234">
        <f>Rens!G47</f>
        <v>0</v>
      </c>
      <c r="G643" s="345"/>
      <c r="H643" s="345"/>
      <c r="I643" s="345"/>
      <c r="J643" s="431"/>
      <c r="K643" s="432"/>
      <c r="L643" s="432"/>
      <c r="M643" s="434">
        <f>Tableau!AB22</f>
        <v>0</v>
      </c>
      <c r="N643" s="345"/>
      <c r="O643" s="345"/>
      <c r="P643" s="344" t="s">
        <v>178</v>
      </c>
      <c r="Q643" s="234">
        <f>Rens!G48</f>
        <v>0</v>
      </c>
      <c r="R643" s="345"/>
      <c r="S643" s="345"/>
      <c r="T643" s="345"/>
      <c r="U643" s="431"/>
    </row>
    <row r="644" spans="1:21" s="232" customFormat="1" ht="15.75" x14ac:dyDescent="0.2">
      <c r="A644" s="470" t="s">
        <v>85</v>
      </c>
      <c r="B644" s="436" t="e">
        <f>IF(B643="","",VLOOKUP(B643,liste!$A$9:$G$145,2,FALSE))</f>
        <v>#N/A</v>
      </c>
      <c r="C644" s="471"/>
      <c r="D644" s="471"/>
      <c r="E644" s="471"/>
      <c r="F644" s="471"/>
      <c r="G644" s="471"/>
      <c r="H644" s="471"/>
      <c r="I644" s="231"/>
      <c r="J644" s="428"/>
      <c r="K644" s="425"/>
      <c r="L644" s="470" t="s">
        <v>85</v>
      </c>
      <c r="M644" s="436" t="e">
        <f>IF(M643="","",VLOOKUP(M643,liste!$A$9:$G$145,2,FALSE))</f>
        <v>#N/A</v>
      </c>
      <c r="N644" s="471"/>
      <c r="O644" s="471"/>
      <c r="P644" s="471"/>
      <c r="Q644" s="471"/>
      <c r="R644" s="471"/>
      <c r="S644" s="471"/>
      <c r="T644" s="471"/>
      <c r="U644" s="472"/>
    </row>
    <row r="645" spans="1:21" s="232" customFormat="1" ht="20.100000000000001" customHeight="1" x14ac:dyDescent="0.2">
      <c r="A645" s="425"/>
      <c r="B645" s="231"/>
      <c r="C645" s="231"/>
      <c r="D645" s="999" t="s">
        <v>19</v>
      </c>
      <c r="E645" s="1000"/>
      <c r="F645" s="1000"/>
      <c r="G645" s="1000"/>
      <c r="H645" s="1000"/>
      <c r="I645" s="1000"/>
      <c r="J645" s="1001"/>
      <c r="K645" s="425"/>
      <c r="L645" s="443"/>
      <c r="M645" s="444"/>
      <c r="N645" s="444"/>
      <c r="O645" s="1002" t="s">
        <v>19</v>
      </c>
      <c r="P645" s="1003"/>
      <c r="Q645" s="1003"/>
      <c r="R645" s="1003"/>
      <c r="S645" s="1003"/>
      <c r="T645" s="1003"/>
      <c r="U645" s="1004"/>
    </row>
    <row r="646" spans="1:21" s="232" customFormat="1" ht="20.100000000000001" customHeight="1" x14ac:dyDescent="0.2">
      <c r="A646" s="992" t="s">
        <v>86</v>
      </c>
      <c r="B646" s="993"/>
      <c r="C646" s="993"/>
      <c r="D646" s="467">
        <v>1</v>
      </c>
      <c r="E646" s="467">
        <v>2</v>
      </c>
      <c r="F646" s="467">
        <v>3</v>
      </c>
      <c r="G646" s="467">
        <v>4</v>
      </c>
      <c r="H646" s="467">
        <v>5</v>
      </c>
      <c r="I646" s="467">
        <v>6</v>
      </c>
      <c r="J646" s="467">
        <v>7</v>
      </c>
      <c r="K646" s="425"/>
      <c r="L646" s="992" t="s">
        <v>86</v>
      </c>
      <c r="M646" s="993"/>
      <c r="N646" s="993"/>
      <c r="O646" s="445">
        <v>1</v>
      </c>
      <c r="P646" s="445">
        <v>2</v>
      </c>
      <c r="Q646" s="445">
        <v>3</v>
      </c>
      <c r="R646" s="445">
        <v>4</v>
      </c>
      <c r="S646" s="446">
        <v>5</v>
      </c>
      <c r="T646" s="497">
        <v>6</v>
      </c>
      <c r="U646" s="446">
        <v>7</v>
      </c>
    </row>
    <row r="647" spans="1:21" s="232" customFormat="1" ht="20.100000000000001" customHeight="1" x14ac:dyDescent="0.2">
      <c r="A647" s="500"/>
      <c r="B647" s="501"/>
      <c r="C647" s="501"/>
      <c r="D647" s="994" t="s">
        <v>92</v>
      </c>
      <c r="E647" s="995"/>
      <c r="F647" s="995"/>
      <c r="G647" s="995"/>
      <c r="H647" s="995"/>
      <c r="I647" s="995"/>
      <c r="J647" s="996"/>
      <c r="K647" s="425"/>
      <c r="L647" s="500"/>
      <c r="M647" s="501"/>
      <c r="N647" s="501"/>
      <c r="O647" s="994" t="s">
        <v>92</v>
      </c>
      <c r="P647" s="995"/>
      <c r="Q647" s="995"/>
      <c r="R647" s="995"/>
      <c r="S647" s="995"/>
      <c r="T647" s="995"/>
      <c r="U647" s="996"/>
    </row>
    <row r="648" spans="1:21" s="232" customFormat="1" ht="18.75" x14ac:dyDescent="0.2">
      <c r="A648" s="498">
        <f>Tableau!Q77</f>
        <v>0</v>
      </c>
      <c r="B648" s="231"/>
      <c r="C648" s="231"/>
      <c r="D648" s="447"/>
      <c r="E648" s="447"/>
      <c r="F648" s="447"/>
      <c r="G648" s="447"/>
      <c r="H648" s="447"/>
      <c r="I648" s="447"/>
      <c r="J648" s="447"/>
      <c r="K648" s="425"/>
      <c r="L648" s="498">
        <f>Tableau!Q85</f>
        <v>0</v>
      </c>
      <c r="M648" s="231"/>
      <c r="N648" s="231"/>
      <c r="O648" s="448"/>
      <c r="P648" s="448"/>
      <c r="Q648" s="448"/>
      <c r="R648" s="448"/>
      <c r="S648" s="448"/>
      <c r="T648" s="449"/>
      <c r="U648" s="448"/>
    </row>
    <row r="649" spans="1:21" s="232" customFormat="1" ht="20.100000000000001" customHeight="1" x14ac:dyDescent="0.2">
      <c r="A649" s="990" t="e">
        <f>IF(A648="","",VLOOKUP(A648,liste!$A$9:$G$145,2,FALSE))</f>
        <v>#N/A</v>
      </c>
      <c r="B649" s="991" t="e">
        <v>#N/A</v>
      </c>
      <c r="C649" s="991" t="e">
        <v>#N/A</v>
      </c>
      <c r="D649" s="447"/>
      <c r="E649" s="447"/>
      <c r="F649" s="447"/>
      <c r="G649" s="447"/>
      <c r="H649" s="447"/>
      <c r="I649" s="447"/>
      <c r="J649" s="447"/>
      <c r="K649" s="425"/>
      <c r="L649" s="990" t="e">
        <f>IF(L648="","",VLOOKUP(L648,liste!$A$9:$G$145,2,FALSE))</f>
        <v>#N/A</v>
      </c>
      <c r="M649" s="991" t="e">
        <v>#N/A</v>
      </c>
      <c r="N649" s="991" t="e">
        <v>#N/A</v>
      </c>
      <c r="O649" s="447"/>
      <c r="P649" s="447"/>
      <c r="Q649" s="447"/>
      <c r="R649" s="447"/>
      <c r="S649" s="447"/>
      <c r="T649" s="428"/>
      <c r="U649" s="447"/>
    </row>
    <row r="650" spans="1:21" s="232" customFormat="1" ht="20.100000000000001" customHeight="1" x14ac:dyDescent="0.2">
      <c r="A650" s="440"/>
      <c r="B650" s="438"/>
      <c r="C650" s="450" t="e">
        <f>IF(A648="","",VLOOKUP(A648,liste!$A$9:$G$145,4,FALSE))</f>
        <v>#N/A</v>
      </c>
      <c r="D650" s="451"/>
      <c r="E650" s="451"/>
      <c r="F650" s="451"/>
      <c r="G650" s="451"/>
      <c r="H650" s="451"/>
      <c r="I650" s="451"/>
      <c r="J650" s="451"/>
      <c r="K650" s="425"/>
      <c r="L650" s="440"/>
      <c r="M650" s="438"/>
      <c r="N650" s="450" t="e">
        <f>IF(L648="","",VLOOKUP(L648,liste!$A$9:$G$145,4,FALSE))</f>
        <v>#N/A</v>
      </c>
      <c r="O650" s="451"/>
      <c r="P650" s="451"/>
      <c r="Q650" s="451"/>
      <c r="R650" s="451"/>
      <c r="S650" s="451"/>
      <c r="T650" s="452"/>
      <c r="U650" s="451"/>
    </row>
    <row r="651" spans="1:21" s="232" customFormat="1" ht="15.75" x14ac:dyDescent="0.2">
      <c r="A651" s="453" t="e">
        <f>IF(A648="","",VLOOKUP(A648,liste!$A$9:$G$145,3,FALSE))</f>
        <v>#N/A</v>
      </c>
      <c r="B651" s="438"/>
      <c r="C651" s="438"/>
      <c r="D651" s="455"/>
      <c r="E651" s="455"/>
      <c r="F651" s="455"/>
      <c r="G651" s="455"/>
      <c r="H651" s="455"/>
      <c r="I651" s="455"/>
      <c r="J651" s="455"/>
      <c r="K651" s="425"/>
      <c r="L651" s="453" t="e">
        <f>IF(L648="","",VLOOKUP(L648,liste!$A$9:$G$145,3,FALSE))</f>
        <v>#N/A</v>
      </c>
      <c r="M651" s="438"/>
      <c r="N651" s="438"/>
      <c r="O651" s="454"/>
      <c r="P651" s="454"/>
      <c r="Q651" s="454"/>
      <c r="R651" s="454"/>
      <c r="S651" s="454"/>
      <c r="T651" s="456"/>
      <c r="U651" s="454"/>
    </row>
    <row r="652" spans="1:21" s="232" customFormat="1" ht="12.75" x14ac:dyDescent="0.2">
      <c r="A652" s="425"/>
      <c r="B652" s="230" t="s">
        <v>9</v>
      </c>
      <c r="C652" s="231"/>
      <c r="D652" s="458"/>
      <c r="E652" s="458"/>
      <c r="F652" s="458"/>
      <c r="G652" s="458"/>
      <c r="H652" s="458"/>
      <c r="I652" s="458"/>
      <c r="J652" s="458"/>
      <c r="K652" s="425"/>
      <c r="L652" s="425"/>
      <c r="M652" s="230" t="s">
        <v>9</v>
      </c>
      <c r="N652" s="231"/>
      <c r="O652" s="457"/>
      <c r="P652" s="457"/>
      <c r="Q652" s="457"/>
      <c r="R652" s="457"/>
      <c r="S652" s="457"/>
      <c r="T652" s="459"/>
      <c r="U652" s="457"/>
    </row>
    <row r="653" spans="1:21" s="232" customFormat="1" ht="18.75" x14ac:dyDescent="0.2">
      <c r="A653" s="498">
        <f>Tableau!Q81</f>
        <v>0</v>
      </c>
      <c r="B653" s="231"/>
      <c r="C653" s="231"/>
      <c r="D653" s="448"/>
      <c r="E653" s="448"/>
      <c r="F653" s="448"/>
      <c r="G653" s="448"/>
      <c r="H653" s="448"/>
      <c r="I653" s="448"/>
      <c r="J653" s="448"/>
      <c r="K653" s="425"/>
      <c r="L653" s="498">
        <f>Tableau!Q89</f>
        <v>0</v>
      </c>
      <c r="M653" s="231"/>
      <c r="N653" s="231"/>
      <c r="O653" s="448"/>
      <c r="P653" s="448"/>
      <c r="Q653" s="448"/>
      <c r="R653" s="448"/>
      <c r="S653" s="448"/>
      <c r="T653" s="449"/>
      <c r="U653" s="448"/>
    </row>
    <row r="654" spans="1:21" s="232" customFormat="1" ht="20.100000000000001" customHeight="1" x14ac:dyDescent="0.2">
      <c r="A654" s="990" t="e">
        <f>IF(A653="","",VLOOKUP(A653,liste!$A$9:$G$145,2,FALSE))</f>
        <v>#N/A</v>
      </c>
      <c r="B654" s="991" t="e">
        <v>#N/A</v>
      </c>
      <c r="C654" s="991" t="e">
        <v>#N/A</v>
      </c>
      <c r="D654" s="447"/>
      <c r="E654" s="447"/>
      <c r="F654" s="447"/>
      <c r="G654" s="447"/>
      <c r="H654" s="447"/>
      <c r="I654" s="447"/>
      <c r="J654" s="447"/>
      <c r="K654" s="425"/>
      <c r="L654" s="990" t="e">
        <f>IF(L653="","",VLOOKUP(L653,liste!$A$9:$G$145,2,FALSE))</f>
        <v>#N/A</v>
      </c>
      <c r="M654" s="991" t="e">
        <v>#N/A</v>
      </c>
      <c r="N654" s="991" t="e">
        <v>#N/A</v>
      </c>
      <c r="O654" s="447"/>
      <c r="P654" s="447"/>
      <c r="Q654" s="447"/>
      <c r="R654" s="447"/>
      <c r="S654" s="447"/>
      <c r="T654" s="428"/>
      <c r="U654" s="447"/>
    </row>
    <row r="655" spans="1:21" s="232" customFormat="1" ht="20.100000000000001" customHeight="1" x14ac:dyDescent="0.2">
      <c r="A655" s="440"/>
      <c r="B655" s="438"/>
      <c r="C655" s="450" t="e">
        <f>IF(A653="","",VLOOKUP(A653,liste!$A$9:$G$145,4,FALSE))</f>
        <v>#N/A</v>
      </c>
      <c r="D655" s="451"/>
      <c r="E655" s="451"/>
      <c r="F655" s="451"/>
      <c r="G655" s="451"/>
      <c r="H655" s="451"/>
      <c r="I655" s="451"/>
      <c r="J655" s="451"/>
      <c r="K655" s="425"/>
      <c r="L655" s="440"/>
      <c r="M655" s="438"/>
      <c r="N655" s="450" t="e">
        <f>IF(L653="","",VLOOKUP(L653,liste!$A$9:$G$145,4,FALSE))</f>
        <v>#N/A</v>
      </c>
      <c r="O655" s="451"/>
      <c r="P655" s="451"/>
      <c r="Q655" s="451"/>
      <c r="R655" s="451"/>
      <c r="S655" s="451"/>
      <c r="T655" s="452"/>
      <c r="U655" s="451"/>
    </row>
    <row r="656" spans="1:21" s="232" customFormat="1" ht="15.75" x14ac:dyDescent="0.2">
      <c r="A656" s="453" t="e">
        <f>IF(A653="","",VLOOKUP(A653,liste!$A$9:$G$145,3,FALSE))</f>
        <v>#N/A</v>
      </c>
      <c r="B656" s="438"/>
      <c r="C656" s="438"/>
      <c r="D656" s="455"/>
      <c r="E656" s="455"/>
      <c r="F656" s="455"/>
      <c r="G656" s="455"/>
      <c r="H656" s="455"/>
      <c r="I656" s="455"/>
      <c r="J656" s="455"/>
      <c r="K656" s="425"/>
      <c r="L656" s="453" t="e">
        <f>IF(L653="","",VLOOKUP(L653,liste!$A$9:$G$145,3,FALSE))</f>
        <v>#N/A</v>
      </c>
      <c r="M656" s="438"/>
      <c r="N656" s="438"/>
      <c r="O656" s="454"/>
      <c r="P656" s="454"/>
      <c r="Q656" s="454"/>
      <c r="R656" s="454"/>
      <c r="S656" s="454"/>
      <c r="T656" s="456"/>
      <c r="U656" s="454"/>
    </row>
    <row r="657" spans="1:21" s="232" customFormat="1" ht="12.75" x14ac:dyDescent="0.2">
      <c r="A657" s="425"/>
      <c r="B657" s="231"/>
      <c r="C657" s="231"/>
      <c r="D657" s="458"/>
      <c r="E657" s="458"/>
      <c r="F657" s="458"/>
      <c r="G657" s="458"/>
      <c r="H657" s="458"/>
      <c r="I657" s="458"/>
      <c r="J657" s="458"/>
      <c r="K657" s="425"/>
      <c r="L657" s="425"/>
      <c r="M657" s="231"/>
      <c r="N657" s="231"/>
      <c r="O657" s="457"/>
      <c r="P657" s="457"/>
      <c r="Q657" s="457"/>
      <c r="R657" s="457"/>
      <c r="S657" s="457"/>
      <c r="T657" s="459"/>
      <c r="U657" s="457"/>
    </row>
    <row r="658" spans="1:21" s="232" customFormat="1" ht="12.75" x14ac:dyDescent="0.2">
      <c r="A658" s="425"/>
      <c r="B658" s="231"/>
      <c r="C658" s="231"/>
      <c r="D658" s="231"/>
      <c r="E658" s="231"/>
      <c r="F658" s="231"/>
      <c r="G658" s="231"/>
      <c r="H658" s="231"/>
      <c r="I658" s="231"/>
      <c r="J658" s="428"/>
      <c r="K658" s="425"/>
      <c r="L658" s="425"/>
      <c r="M658" s="231"/>
      <c r="N658" s="231"/>
      <c r="O658" s="231"/>
      <c r="P658" s="231"/>
      <c r="Q658" s="231"/>
      <c r="R658" s="231"/>
      <c r="S658" s="231"/>
      <c r="T658" s="231"/>
      <c r="U658" s="428"/>
    </row>
    <row r="659" spans="1:21" s="232" customFormat="1" ht="20.100000000000001" customHeight="1" x14ac:dyDescent="0.2">
      <c r="A659" s="988" t="s">
        <v>90</v>
      </c>
      <c r="B659" s="989"/>
      <c r="C659" s="989"/>
      <c r="D659" s="461" t="s">
        <v>77</v>
      </c>
      <c r="E659" s="461" t="s">
        <v>87</v>
      </c>
      <c r="F659" s="461" t="s">
        <v>88</v>
      </c>
      <c r="G659" s="231"/>
      <c r="H659" s="231"/>
      <c r="I659" s="231"/>
      <c r="J659" s="428"/>
      <c r="K659" s="425"/>
      <c r="L659" s="988" t="s">
        <v>90</v>
      </c>
      <c r="M659" s="989"/>
      <c r="N659" s="989"/>
      <c r="O659" s="461" t="s">
        <v>77</v>
      </c>
      <c r="P659" s="461" t="s">
        <v>87</v>
      </c>
      <c r="Q659" s="461" t="s">
        <v>88</v>
      </c>
      <c r="R659" s="231"/>
      <c r="S659" s="231"/>
      <c r="T659" s="231"/>
      <c r="U659" s="428"/>
    </row>
    <row r="660" spans="1:21" s="232" customFormat="1" ht="20.100000000000001" customHeight="1" x14ac:dyDescent="0.2">
      <c r="A660" s="462" t="e">
        <f>A649</f>
        <v>#N/A</v>
      </c>
      <c r="B660" s="426"/>
      <c r="C660" s="449"/>
      <c r="D660" s="448"/>
      <c r="E660" s="448"/>
      <c r="F660" s="448"/>
      <c r="G660" s="231"/>
      <c r="H660" s="231"/>
      <c r="I660" s="231"/>
      <c r="J660" s="428"/>
      <c r="K660" s="425"/>
      <c r="L660" s="462" t="e">
        <f>L649</f>
        <v>#N/A</v>
      </c>
      <c r="M660" s="426"/>
      <c r="N660" s="449"/>
      <c r="O660" s="448"/>
      <c r="P660" s="448"/>
      <c r="Q660" s="448"/>
      <c r="R660" s="231"/>
      <c r="S660" s="231"/>
      <c r="T660" s="231"/>
      <c r="U660" s="428"/>
    </row>
    <row r="661" spans="1:21" s="232" customFormat="1" ht="20.100000000000001" customHeight="1" x14ac:dyDescent="0.2">
      <c r="A661" s="463"/>
      <c r="B661" s="233"/>
      <c r="C661" s="452"/>
      <c r="D661" s="451"/>
      <c r="E661" s="451"/>
      <c r="F661" s="451"/>
      <c r="G661" s="231"/>
      <c r="H661" s="231"/>
      <c r="I661" s="231"/>
      <c r="J661" s="428"/>
      <c r="K661" s="425"/>
      <c r="L661" s="463"/>
      <c r="M661" s="233"/>
      <c r="N661" s="452"/>
      <c r="O661" s="451"/>
      <c r="P661" s="451"/>
      <c r="Q661" s="451"/>
      <c r="R661" s="231"/>
      <c r="S661" s="231"/>
      <c r="T661" s="231"/>
      <c r="U661" s="428"/>
    </row>
    <row r="662" spans="1:21" s="232" customFormat="1" ht="20.100000000000001" customHeight="1" x14ac:dyDescent="0.2">
      <c r="A662" s="462" t="e">
        <f>A654</f>
        <v>#N/A</v>
      </c>
      <c r="B662" s="426"/>
      <c r="C662" s="449"/>
      <c r="D662" s="448"/>
      <c r="E662" s="448"/>
      <c r="F662" s="448"/>
      <c r="G662" s="231"/>
      <c r="H662" s="231"/>
      <c r="I662" s="231"/>
      <c r="J662" s="428"/>
      <c r="K662" s="425"/>
      <c r="L662" s="462" t="e">
        <f>L654</f>
        <v>#N/A</v>
      </c>
      <c r="M662" s="426"/>
      <c r="N662" s="449"/>
      <c r="O662" s="448"/>
      <c r="P662" s="448"/>
      <c r="Q662" s="448"/>
      <c r="R662" s="231"/>
      <c r="S662" s="231"/>
      <c r="T662" s="231"/>
      <c r="U662" s="428"/>
    </row>
    <row r="663" spans="1:21" s="232" customFormat="1" ht="20.100000000000001" customHeight="1" x14ac:dyDescent="0.2">
      <c r="A663" s="463"/>
      <c r="B663" s="233"/>
      <c r="C663" s="452"/>
      <c r="D663" s="451"/>
      <c r="E663" s="451"/>
      <c r="F663" s="451"/>
      <c r="G663" s="231"/>
      <c r="H663" s="231"/>
      <c r="I663" s="231"/>
      <c r="J663" s="428"/>
      <c r="K663" s="425"/>
      <c r="L663" s="463"/>
      <c r="M663" s="233"/>
      <c r="N663" s="452"/>
      <c r="O663" s="451"/>
      <c r="P663" s="451"/>
      <c r="Q663" s="451"/>
      <c r="R663" s="231"/>
      <c r="S663" s="231"/>
      <c r="T663" s="231"/>
      <c r="U663" s="428"/>
    </row>
    <row r="664" spans="1:21" s="232" customFormat="1" ht="12.75" x14ac:dyDescent="0.2">
      <c r="A664" s="464" t="s">
        <v>91</v>
      </c>
      <c r="B664" s="231"/>
      <c r="C664" s="231"/>
      <c r="D664" s="231"/>
      <c r="E664" s="231"/>
      <c r="F664" s="231"/>
      <c r="G664" s="231"/>
      <c r="H664" s="231"/>
      <c r="I664" s="231"/>
      <c r="J664" s="428"/>
      <c r="K664" s="425"/>
      <c r="L664" s="464" t="s">
        <v>91</v>
      </c>
      <c r="M664" s="231"/>
      <c r="N664" s="231"/>
      <c r="O664" s="231"/>
      <c r="P664" s="231"/>
      <c r="Q664" s="231"/>
      <c r="R664" s="231"/>
      <c r="S664" s="231"/>
      <c r="T664" s="231"/>
      <c r="U664" s="428"/>
    </row>
    <row r="665" spans="1:21" s="232" customFormat="1" ht="12.75" x14ac:dyDescent="0.2">
      <c r="A665" s="425"/>
      <c r="B665" s="231"/>
      <c r="C665" s="231"/>
      <c r="D665" s="231"/>
      <c r="E665" s="231"/>
      <c r="F665" s="231"/>
      <c r="G665" s="231"/>
      <c r="H665" s="231"/>
      <c r="I665" s="231"/>
      <c r="J665" s="428"/>
      <c r="K665" s="425"/>
      <c r="L665" s="425"/>
      <c r="M665" s="231"/>
      <c r="N665" s="231"/>
      <c r="O665" s="231"/>
      <c r="P665" s="231"/>
      <c r="Q665" s="231"/>
      <c r="R665" s="231"/>
      <c r="S665" s="231"/>
      <c r="T665" s="231"/>
      <c r="U665" s="428"/>
    </row>
    <row r="666" spans="1:21" s="232" customFormat="1" ht="12.75" x14ac:dyDescent="0.2">
      <c r="A666" s="465" t="s">
        <v>89</v>
      </c>
      <c r="B666" s="233"/>
      <c r="C666" s="233"/>
      <c r="D666" s="233"/>
      <c r="E666" s="233"/>
      <c r="F666" s="233"/>
      <c r="G666" s="233"/>
      <c r="H666" s="233"/>
      <c r="I666" s="233"/>
      <c r="J666" s="452"/>
      <c r="K666" s="425"/>
      <c r="L666" s="465" t="s">
        <v>89</v>
      </c>
      <c r="M666" s="233"/>
      <c r="N666" s="233"/>
      <c r="O666" s="233"/>
      <c r="P666" s="233"/>
      <c r="Q666" s="233"/>
      <c r="R666" s="233"/>
      <c r="S666" s="233"/>
      <c r="T666" s="233"/>
      <c r="U666" s="452"/>
    </row>
    <row r="667" spans="1:21" s="232" customFormat="1" ht="30" customHeight="1" x14ac:dyDescent="0.2"/>
    <row r="668" spans="1:21" s="232" customFormat="1" ht="30" customHeight="1" x14ac:dyDescent="0.2"/>
    <row r="669" spans="1:21" s="232" customFormat="1" ht="20.100000000000001" customHeight="1" x14ac:dyDescent="0.2">
      <c r="A669" s="1005" t="str">
        <f>$A$1</f>
        <v>Circuit décathlon</v>
      </c>
      <c r="B669" s="1006"/>
      <c r="C669" s="1006"/>
      <c r="D669" s="1006"/>
      <c r="E669" s="1006"/>
      <c r="F669" s="1006"/>
      <c r="G669" s="1006"/>
      <c r="H669" s="1006"/>
      <c r="I669" s="1006"/>
      <c r="J669" s="1007"/>
      <c r="K669" s="425"/>
      <c r="L669" s="1005" t="str">
        <f>$A$1</f>
        <v>Circuit décathlon</v>
      </c>
      <c r="M669" s="1006"/>
      <c r="N669" s="1006"/>
      <c r="O669" s="1006"/>
      <c r="P669" s="1006"/>
      <c r="Q669" s="1006"/>
      <c r="R669" s="1006"/>
      <c r="S669" s="1006"/>
      <c r="T669" s="426"/>
      <c r="U669" s="449"/>
    </row>
    <row r="670" spans="1:21" s="232" customFormat="1" ht="15.75" x14ac:dyDescent="0.2">
      <c r="A670" s="425"/>
      <c r="B670" s="231"/>
      <c r="C670" s="231"/>
      <c r="D670" s="427" t="s">
        <v>83</v>
      </c>
      <c r="E670" s="474">
        <f>Rens!F50</f>
        <v>0</v>
      </c>
      <c r="F670" s="231"/>
      <c r="G670" s="231"/>
      <c r="H670" s="231"/>
      <c r="I670" s="231"/>
      <c r="J670" s="428"/>
      <c r="K670" s="425"/>
      <c r="L670" s="425"/>
      <c r="M670" s="231"/>
      <c r="N670" s="231"/>
      <c r="O670" s="427" t="s">
        <v>83</v>
      </c>
      <c r="P670" s="474">
        <f>Rens!F51</f>
        <v>0</v>
      </c>
      <c r="Q670" s="231"/>
      <c r="R670" s="231"/>
      <c r="S670" s="231"/>
      <c r="T670" s="231"/>
      <c r="U670" s="428"/>
    </row>
    <row r="671" spans="1:21" s="232" customFormat="1" ht="18.75" x14ac:dyDescent="0.2">
      <c r="A671" s="429" t="s">
        <v>84</v>
      </c>
      <c r="B671" s="430" t="str">
        <f>$B$3</f>
        <v>Minimes</v>
      </c>
      <c r="C671" s="231"/>
      <c r="D671" s="231"/>
      <c r="E671" s="231"/>
      <c r="F671" s="231"/>
      <c r="G671" s="231"/>
      <c r="H671" s="231"/>
      <c r="I671" s="231"/>
      <c r="J671" s="428"/>
      <c r="K671" s="425"/>
      <c r="L671" s="429" t="s">
        <v>84</v>
      </c>
      <c r="M671" s="430" t="str">
        <f>$B$3</f>
        <v>Minimes</v>
      </c>
      <c r="N671" s="231"/>
      <c r="O671" s="231"/>
      <c r="P671" s="231"/>
      <c r="Q671" s="231"/>
      <c r="R671" s="231"/>
      <c r="S671" s="231"/>
      <c r="T671" s="231"/>
      <c r="U671" s="428"/>
    </row>
    <row r="672" spans="1:21" s="232" customFormat="1" ht="18.75" x14ac:dyDescent="0.2">
      <c r="A672" s="997" t="s">
        <v>223</v>
      </c>
      <c r="B672" s="998"/>
      <c r="C672" s="998"/>
      <c r="D672" s="998"/>
      <c r="E672" s="231"/>
      <c r="F672" s="231"/>
      <c r="G672" s="499" t="str">
        <f>Rens!E50</f>
        <v>P'</v>
      </c>
      <c r="H672" s="231"/>
      <c r="I672" s="231"/>
      <c r="J672" s="428"/>
      <c r="K672" s="425"/>
      <c r="L672" s="997" t="str">
        <f>A672</f>
        <v>Places 29 à 32</v>
      </c>
      <c r="M672" s="998"/>
      <c r="N672" s="998"/>
      <c r="O672" s="998"/>
      <c r="P672" s="231"/>
      <c r="Q672" s="231"/>
      <c r="R672" s="499" t="str">
        <f>Rens!E51</f>
        <v>T'</v>
      </c>
      <c r="S672" s="231"/>
      <c r="T672" s="499"/>
      <c r="U672" s="428"/>
    </row>
    <row r="673" spans="1:21" s="343" customFormat="1" ht="23.25" x14ac:dyDescent="0.2">
      <c r="A673" s="432"/>
      <c r="B673" s="434">
        <f>Tableau!AB16</f>
        <v>0</v>
      </c>
      <c r="C673" s="345"/>
      <c r="D673" s="345"/>
      <c r="E673" s="344" t="s">
        <v>178</v>
      </c>
      <c r="F673" s="234">
        <f>Rens!G50</f>
        <v>0</v>
      </c>
      <c r="G673" s="345"/>
      <c r="H673" s="345"/>
      <c r="I673" s="345"/>
      <c r="J673" s="431"/>
      <c r="K673" s="432"/>
      <c r="L673" s="432"/>
      <c r="M673" s="434">
        <f>Tableau!AB12</f>
        <v>0</v>
      </c>
      <c r="N673" s="345"/>
      <c r="O673" s="345"/>
      <c r="P673" s="344" t="s">
        <v>178</v>
      </c>
      <c r="Q673" s="234">
        <f>Rens!G51</f>
        <v>0</v>
      </c>
      <c r="R673" s="345"/>
      <c r="S673" s="345"/>
      <c r="T673" s="345"/>
      <c r="U673" s="431"/>
    </row>
    <row r="674" spans="1:21" s="232" customFormat="1" ht="15.75" x14ac:dyDescent="0.2">
      <c r="A674" s="470" t="s">
        <v>85</v>
      </c>
      <c r="B674" s="436" t="e">
        <f>IF(B673="","",VLOOKUP(B673,liste!$A$9:$G$145,2,FALSE))</f>
        <v>#N/A</v>
      </c>
      <c r="C674" s="471"/>
      <c r="D674" s="471"/>
      <c r="E674" s="471"/>
      <c r="F674" s="471"/>
      <c r="G674" s="471"/>
      <c r="H674" s="471"/>
      <c r="I674" s="231"/>
      <c r="J674" s="428"/>
      <c r="K674" s="425"/>
      <c r="L674" s="470" t="s">
        <v>85</v>
      </c>
      <c r="M674" s="436" t="e">
        <f>IF(M673="","",VLOOKUP(M673,liste!$A$9:$G$145,2,FALSE))</f>
        <v>#N/A</v>
      </c>
      <c r="N674" s="471"/>
      <c r="O674" s="471"/>
      <c r="P674" s="471"/>
      <c r="Q674" s="471"/>
      <c r="R674" s="471"/>
      <c r="S674" s="471"/>
      <c r="T674" s="471"/>
      <c r="U674" s="472"/>
    </row>
    <row r="675" spans="1:21" s="232" customFormat="1" ht="20.100000000000001" customHeight="1" x14ac:dyDescent="0.2">
      <c r="A675" s="425"/>
      <c r="D675" s="999" t="s">
        <v>19</v>
      </c>
      <c r="E675" s="1000"/>
      <c r="F675" s="1000"/>
      <c r="G675" s="1000"/>
      <c r="H675" s="1000"/>
      <c r="I675" s="1000"/>
      <c r="J675" s="1001"/>
      <c r="K675" s="425"/>
      <c r="L675" s="443"/>
      <c r="M675" s="444"/>
      <c r="N675" s="444"/>
      <c r="O675" s="1002" t="s">
        <v>19</v>
      </c>
      <c r="P675" s="1003"/>
      <c r="Q675" s="1003"/>
      <c r="R675" s="1003"/>
      <c r="S675" s="1003"/>
      <c r="T675" s="1003"/>
      <c r="U675" s="1004"/>
    </row>
    <row r="676" spans="1:21" s="232" customFormat="1" ht="20.100000000000001" customHeight="1" x14ac:dyDescent="0.2">
      <c r="A676" s="992" t="s">
        <v>86</v>
      </c>
      <c r="B676" s="993"/>
      <c r="C676" s="993"/>
      <c r="D676" s="467">
        <v>1</v>
      </c>
      <c r="E676" s="467">
        <v>2</v>
      </c>
      <c r="F676" s="467">
        <v>3</v>
      </c>
      <c r="G676" s="467">
        <v>4</v>
      </c>
      <c r="H676" s="467">
        <v>5</v>
      </c>
      <c r="I676" s="467">
        <v>6</v>
      </c>
      <c r="J676" s="467">
        <v>7</v>
      </c>
      <c r="K676" s="425"/>
      <c r="L676" s="992" t="s">
        <v>86</v>
      </c>
      <c r="M676" s="993"/>
      <c r="N676" s="993"/>
      <c r="O676" s="445">
        <v>1</v>
      </c>
      <c r="P676" s="445">
        <v>2</v>
      </c>
      <c r="Q676" s="445">
        <v>3</v>
      </c>
      <c r="R676" s="445">
        <v>4</v>
      </c>
      <c r="S676" s="446">
        <v>5</v>
      </c>
      <c r="T676" s="497">
        <v>6</v>
      </c>
      <c r="U676" s="446">
        <v>7</v>
      </c>
    </row>
    <row r="677" spans="1:21" s="232" customFormat="1" ht="20.100000000000001" customHeight="1" x14ac:dyDescent="0.2">
      <c r="A677" s="500"/>
      <c r="B677" s="501"/>
      <c r="C677" s="501"/>
      <c r="D677" s="994" t="s">
        <v>92</v>
      </c>
      <c r="E677" s="995"/>
      <c r="F677" s="995"/>
      <c r="G677" s="995"/>
      <c r="H677" s="995"/>
      <c r="I677" s="995"/>
      <c r="J677" s="996"/>
      <c r="K677" s="425"/>
      <c r="L677" s="500"/>
      <c r="M677" s="501"/>
      <c r="N677" s="501"/>
      <c r="O677" s="994" t="s">
        <v>92</v>
      </c>
      <c r="P677" s="995"/>
      <c r="Q677" s="995"/>
      <c r="R677" s="995"/>
      <c r="S677" s="995"/>
      <c r="T677" s="995"/>
      <c r="U677" s="996"/>
    </row>
    <row r="678" spans="1:21" s="232" customFormat="1" ht="18.75" x14ac:dyDescent="0.2">
      <c r="A678" s="498">
        <f>Tableau!F77</f>
        <v>25</v>
      </c>
      <c r="C678" s="231"/>
      <c r="D678" s="448"/>
      <c r="E678" s="448"/>
      <c r="F678" s="448"/>
      <c r="G678" s="448"/>
      <c r="H678" s="448"/>
      <c r="I678" s="448"/>
      <c r="J678" s="448"/>
      <c r="K678" s="425"/>
      <c r="L678" s="498">
        <f>Tableau!F85</f>
        <v>31</v>
      </c>
      <c r="M678" s="231"/>
      <c r="N678" s="231"/>
      <c r="O678" s="448"/>
      <c r="P678" s="448"/>
      <c r="Q678" s="448"/>
      <c r="R678" s="448"/>
      <c r="S678" s="448"/>
      <c r="T678" s="449"/>
      <c r="U678" s="448"/>
    </row>
    <row r="679" spans="1:21" s="232" customFormat="1" ht="20.100000000000001" customHeight="1" x14ac:dyDescent="0.2">
      <c r="A679" s="990" t="str">
        <f>IF(A678="","",VLOOKUP(A678,liste!$A$9:$G$145,2,FALSE))</f>
        <v>LECOMTE Erwan</v>
      </c>
      <c r="B679" s="991" t="s">
        <v>288</v>
      </c>
      <c r="C679" s="991" t="s">
        <v>288</v>
      </c>
      <c r="D679" s="447"/>
      <c r="E679" s="447"/>
      <c r="F679" s="447"/>
      <c r="G679" s="447"/>
      <c r="H679" s="447"/>
      <c r="I679" s="447"/>
      <c r="J679" s="447"/>
      <c r="K679" s="425"/>
      <c r="L679" s="990">
        <f>IF(L678="","",VLOOKUP(L678,liste!$A$9:$G$145,2,FALSE))</f>
        <v>0</v>
      </c>
      <c r="M679" s="991" t="s">
        <v>288</v>
      </c>
      <c r="N679" s="991" t="s">
        <v>288</v>
      </c>
      <c r="O679" s="447"/>
      <c r="P679" s="447"/>
      <c r="Q679" s="447"/>
      <c r="R679" s="447"/>
      <c r="S679" s="447"/>
      <c r="T679" s="428"/>
      <c r="U679" s="447"/>
    </row>
    <row r="680" spans="1:21" s="232" customFormat="1" ht="20.100000000000001" customHeight="1" x14ac:dyDescent="0.2">
      <c r="A680" s="440"/>
      <c r="B680" s="438"/>
      <c r="C680" s="450">
        <f>IF(A678="","",VLOOKUP(A678,liste!$A$9:$G$145,4,FALSE))</f>
        <v>5</v>
      </c>
      <c r="D680" s="451"/>
      <c r="E680" s="451"/>
      <c r="F680" s="451"/>
      <c r="G680" s="451"/>
      <c r="H680" s="451"/>
      <c r="I680" s="451"/>
      <c r="J680" s="451"/>
      <c r="K680" s="425"/>
      <c r="L680" s="440"/>
      <c r="M680" s="438"/>
      <c r="N680" s="450">
        <f>IF(L678="","",VLOOKUP(L678,liste!$A$9:$G$145,4,FALSE))</f>
        <v>0</v>
      </c>
      <c r="O680" s="451"/>
      <c r="P680" s="451"/>
      <c r="Q680" s="451"/>
      <c r="R680" s="451"/>
      <c r="S680" s="451"/>
      <c r="T680" s="452"/>
      <c r="U680" s="451"/>
    </row>
    <row r="681" spans="1:21" s="232" customFormat="1" ht="15.75" x14ac:dyDescent="0.2">
      <c r="A681" s="468" t="str">
        <f>IF(A678="","",VLOOKUP(A678,liste!$A$9:$G$145,3,FALSE))</f>
        <v>LA CHAPELLE ALTT</v>
      </c>
      <c r="B681" s="438"/>
      <c r="C681" s="438"/>
      <c r="D681" s="455"/>
      <c r="E681" s="455"/>
      <c r="F681" s="455"/>
      <c r="G681" s="455"/>
      <c r="H681" s="455"/>
      <c r="I681" s="455"/>
      <c r="J681" s="455"/>
      <c r="K681" s="425"/>
      <c r="L681" s="468">
        <f>IF(L678="","",VLOOKUP(L678,liste!$A$9:$G$145,3,FALSE))</f>
        <v>0</v>
      </c>
      <c r="M681" s="438"/>
      <c r="N681" s="438"/>
      <c r="O681" s="454"/>
      <c r="P681" s="454"/>
      <c r="Q681" s="454"/>
      <c r="R681" s="454"/>
      <c r="S681" s="454"/>
      <c r="T681" s="456"/>
      <c r="U681" s="454"/>
    </row>
    <row r="682" spans="1:21" s="232" customFormat="1" ht="12.75" x14ac:dyDescent="0.2">
      <c r="A682" s="425"/>
      <c r="B682" s="230" t="s">
        <v>9</v>
      </c>
      <c r="C682" s="231"/>
      <c r="D682" s="458"/>
      <c r="E682" s="458"/>
      <c r="F682" s="458"/>
      <c r="G682" s="458"/>
      <c r="H682" s="458"/>
      <c r="I682" s="458"/>
      <c r="J682" s="458"/>
      <c r="K682" s="425"/>
      <c r="L682" s="425"/>
      <c r="M682" s="230" t="s">
        <v>9</v>
      </c>
      <c r="N682" s="231"/>
      <c r="O682" s="457"/>
      <c r="P682" s="457"/>
      <c r="Q682" s="457"/>
      <c r="R682" s="457"/>
      <c r="S682" s="457"/>
      <c r="T682" s="459"/>
      <c r="U682" s="457"/>
    </row>
    <row r="683" spans="1:21" s="232" customFormat="1" ht="18.75" x14ac:dyDescent="0.2">
      <c r="A683" s="498">
        <f>Tableau!F81</f>
        <v>32</v>
      </c>
      <c r="B683" s="469"/>
      <c r="C683" s="231"/>
      <c r="D683" s="448"/>
      <c r="E683" s="448"/>
      <c r="F683" s="448"/>
      <c r="G683" s="448"/>
      <c r="H683" s="448"/>
      <c r="I683" s="448"/>
      <c r="J683" s="448"/>
      <c r="K683" s="425"/>
      <c r="L683" s="498">
        <f>Tableau!F89</f>
        <v>24</v>
      </c>
      <c r="M683" s="231"/>
      <c r="N683" s="231"/>
      <c r="O683" s="448"/>
      <c r="P683" s="448"/>
      <c r="Q683" s="448"/>
      <c r="R683" s="448"/>
      <c r="S683" s="448"/>
      <c r="T683" s="449"/>
      <c r="U683" s="448"/>
    </row>
    <row r="684" spans="1:21" s="232" customFormat="1" ht="20.100000000000001" customHeight="1" x14ac:dyDescent="0.2">
      <c r="A684" s="990">
        <f>IF(A683="","",VLOOKUP(A683,liste!$A$9:$G$145,2,FALSE))</f>
        <v>0</v>
      </c>
      <c r="B684" s="991" t="s">
        <v>288</v>
      </c>
      <c r="C684" s="991" t="s">
        <v>288</v>
      </c>
      <c r="D684" s="447"/>
      <c r="E684" s="447"/>
      <c r="F684" s="447"/>
      <c r="G684" s="447"/>
      <c r="H684" s="447"/>
      <c r="I684" s="447"/>
      <c r="J684" s="447"/>
      <c r="K684" s="425"/>
      <c r="L684" s="990" t="str">
        <f>IF(L683="","",VLOOKUP(L683,liste!$A$9:$G$145,2,FALSE))</f>
        <v>BOULARD  Neyl</v>
      </c>
      <c r="M684" s="991" t="s">
        <v>288</v>
      </c>
      <c r="N684" s="991" t="s">
        <v>288</v>
      </c>
      <c r="O684" s="447"/>
      <c r="P684" s="447"/>
      <c r="Q684" s="447"/>
      <c r="R684" s="447"/>
      <c r="S684" s="447"/>
      <c r="T684" s="428"/>
      <c r="U684" s="447"/>
    </row>
    <row r="685" spans="1:21" s="232" customFormat="1" ht="20.100000000000001" customHeight="1" x14ac:dyDescent="0.2">
      <c r="A685" s="440"/>
      <c r="B685" s="438"/>
      <c r="C685" s="450">
        <f>IF(A683="","",VLOOKUP(A683,liste!$A$9:$G$145,4,FALSE))</f>
        <v>0</v>
      </c>
      <c r="D685" s="451"/>
      <c r="E685" s="451"/>
      <c r="F685" s="451"/>
      <c r="G685" s="451"/>
      <c r="H685" s="451"/>
      <c r="I685" s="451"/>
      <c r="J685" s="451"/>
      <c r="K685" s="425"/>
      <c r="L685" s="440"/>
      <c r="M685" s="438"/>
      <c r="N685" s="450">
        <f>IF(L683="","",VLOOKUP(L683,liste!$A$9:$G$145,4,FALSE))</f>
        <v>5</v>
      </c>
      <c r="O685" s="451"/>
      <c r="P685" s="451"/>
      <c r="Q685" s="451"/>
      <c r="R685" s="451"/>
      <c r="S685" s="451"/>
      <c r="T685" s="452"/>
      <c r="U685" s="451"/>
    </row>
    <row r="686" spans="1:21" s="232" customFormat="1" ht="15.75" x14ac:dyDescent="0.2">
      <c r="A686" s="473">
        <f>IF(A683="","",VLOOKUP(A683,liste!$A$9:$G$145,3,FALSE))</f>
        <v>0</v>
      </c>
      <c r="B686" s="438"/>
      <c r="C686" s="438"/>
      <c r="D686" s="455"/>
      <c r="E686" s="455"/>
      <c r="F686" s="455"/>
      <c r="G686" s="455"/>
      <c r="H686" s="455"/>
      <c r="I686" s="455"/>
      <c r="J686" s="455"/>
      <c r="K686" s="425"/>
      <c r="L686" s="468" t="str">
        <f>IF(L683="","",VLOOKUP(L683,liste!$A$9:$G$145,3,FALSE))</f>
        <v>FOULLETOURTE T.T.</v>
      </c>
      <c r="M686" s="438"/>
      <c r="N686" s="438"/>
      <c r="O686" s="454"/>
      <c r="P686" s="454"/>
      <c r="Q686" s="454"/>
      <c r="R686" s="454"/>
      <c r="S686" s="454"/>
      <c r="T686" s="456"/>
      <c r="U686" s="454"/>
    </row>
    <row r="687" spans="1:21" s="232" customFormat="1" ht="12.75" x14ac:dyDescent="0.2">
      <c r="A687" s="425"/>
      <c r="B687" s="231"/>
      <c r="C687" s="231"/>
      <c r="D687" s="458"/>
      <c r="E687" s="458"/>
      <c r="F687" s="458"/>
      <c r="G687" s="458"/>
      <c r="H687" s="458"/>
      <c r="I687" s="458"/>
      <c r="J687" s="458"/>
      <c r="K687" s="425"/>
      <c r="L687" s="425"/>
      <c r="M687" s="231"/>
      <c r="N687" s="231"/>
      <c r="O687" s="457"/>
      <c r="P687" s="457"/>
      <c r="Q687" s="457"/>
      <c r="R687" s="457"/>
      <c r="S687" s="457"/>
      <c r="T687" s="459"/>
      <c r="U687" s="457"/>
    </row>
    <row r="688" spans="1:21" s="232" customFormat="1" ht="12.75" x14ac:dyDescent="0.2">
      <c r="A688" s="425"/>
      <c r="B688" s="231"/>
      <c r="C688" s="231"/>
      <c r="D688" s="231"/>
      <c r="E688" s="231"/>
      <c r="F688" s="231"/>
      <c r="G688" s="231"/>
      <c r="H688" s="231"/>
      <c r="I688" s="231"/>
      <c r="J688" s="428"/>
      <c r="K688" s="425"/>
      <c r="L688" s="425"/>
      <c r="M688" s="231"/>
      <c r="N688" s="231"/>
      <c r="O688" s="231"/>
      <c r="P688" s="231"/>
      <c r="Q688" s="231"/>
      <c r="R688" s="231"/>
      <c r="S688" s="231"/>
      <c r="T688" s="231"/>
      <c r="U688" s="428"/>
    </row>
    <row r="689" spans="1:21" s="232" customFormat="1" ht="20.100000000000001" customHeight="1" x14ac:dyDescent="0.2">
      <c r="A689" s="988" t="s">
        <v>90</v>
      </c>
      <c r="B689" s="989"/>
      <c r="C689" s="989"/>
      <c r="D689" s="461" t="s">
        <v>77</v>
      </c>
      <c r="E689" s="461" t="s">
        <v>87</v>
      </c>
      <c r="F689" s="461" t="s">
        <v>88</v>
      </c>
      <c r="G689" s="231"/>
      <c r="H689" s="231"/>
      <c r="I689" s="231"/>
      <c r="J689" s="428"/>
      <c r="K689" s="425"/>
      <c r="L689" s="988" t="s">
        <v>90</v>
      </c>
      <c r="M689" s="989"/>
      <c r="N689" s="989"/>
      <c r="O689" s="461" t="s">
        <v>77</v>
      </c>
      <c r="P689" s="461" t="s">
        <v>87</v>
      </c>
      <c r="Q689" s="461" t="s">
        <v>88</v>
      </c>
      <c r="R689" s="231"/>
      <c r="S689" s="231"/>
      <c r="T689" s="231"/>
      <c r="U689" s="428"/>
    </row>
    <row r="690" spans="1:21" s="232" customFormat="1" ht="20.100000000000001" customHeight="1" x14ac:dyDescent="0.2">
      <c r="A690" s="462" t="str">
        <f>A679</f>
        <v>LECOMTE Erwan</v>
      </c>
      <c r="B690" s="426"/>
      <c r="C690" s="449"/>
      <c r="D690" s="448"/>
      <c r="E690" s="448"/>
      <c r="F690" s="448"/>
      <c r="G690" s="231"/>
      <c r="H690" s="231"/>
      <c r="I690" s="231"/>
      <c r="J690" s="428"/>
      <c r="K690" s="425"/>
      <c r="L690" s="462">
        <f>L679</f>
        <v>0</v>
      </c>
      <c r="M690" s="426"/>
      <c r="N690" s="449"/>
      <c r="O690" s="448"/>
      <c r="P690" s="448"/>
      <c r="Q690" s="448"/>
      <c r="R690" s="231"/>
      <c r="S690" s="231"/>
      <c r="T690" s="231"/>
      <c r="U690" s="428"/>
    </row>
    <row r="691" spans="1:21" s="232" customFormat="1" ht="20.100000000000001" customHeight="1" x14ac:dyDescent="0.2">
      <c r="A691" s="463"/>
      <c r="B691" s="233"/>
      <c r="C691" s="452"/>
      <c r="D691" s="451"/>
      <c r="E691" s="451"/>
      <c r="F691" s="451"/>
      <c r="G691" s="231"/>
      <c r="H691" s="231"/>
      <c r="I691" s="231"/>
      <c r="J691" s="428"/>
      <c r="K691" s="425"/>
      <c r="L691" s="463"/>
      <c r="M691" s="233"/>
      <c r="N691" s="452"/>
      <c r="O691" s="451"/>
      <c r="P691" s="451"/>
      <c r="Q691" s="451"/>
      <c r="R691" s="231"/>
      <c r="S691" s="231"/>
      <c r="T691" s="231"/>
      <c r="U691" s="428"/>
    </row>
    <row r="692" spans="1:21" s="232" customFormat="1" ht="20.100000000000001" customHeight="1" x14ac:dyDescent="0.2">
      <c r="A692" s="462">
        <f>A684</f>
        <v>0</v>
      </c>
      <c r="B692" s="426"/>
      <c r="C692" s="449"/>
      <c r="D692" s="448"/>
      <c r="E692" s="448"/>
      <c r="F692" s="448"/>
      <c r="G692" s="231"/>
      <c r="H692" s="231"/>
      <c r="I692" s="231"/>
      <c r="J692" s="428"/>
      <c r="K692" s="425"/>
      <c r="L692" s="462" t="str">
        <f>L684</f>
        <v>BOULARD  Neyl</v>
      </c>
      <c r="M692" s="426"/>
      <c r="N692" s="449"/>
      <c r="O692" s="448"/>
      <c r="P692" s="448"/>
      <c r="Q692" s="448"/>
      <c r="R692" s="231"/>
      <c r="S692" s="231"/>
      <c r="T692" s="231"/>
      <c r="U692" s="428"/>
    </row>
    <row r="693" spans="1:21" s="232" customFormat="1" ht="20.100000000000001" customHeight="1" x14ac:dyDescent="0.2">
      <c r="A693" s="463"/>
      <c r="B693" s="233"/>
      <c r="C693" s="452"/>
      <c r="D693" s="451"/>
      <c r="E693" s="451"/>
      <c r="F693" s="451"/>
      <c r="G693" s="231"/>
      <c r="H693" s="231"/>
      <c r="I693" s="231"/>
      <c r="J693" s="428"/>
      <c r="K693" s="425"/>
      <c r="L693" s="463"/>
      <c r="M693" s="233"/>
      <c r="N693" s="452"/>
      <c r="O693" s="451"/>
      <c r="P693" s="451"/>
      <c r="Q693" s="451"/>
      <c r="R693" s="231"/>
      <c r="S693" s="231"/>
      <c r="T693" s="231"/>
      <c r="U693" s="428"/>
    </row>
    <row r="694" spans="1:21" s="232" customFormat="1" ht="12.75" x14ac:dyDescent="0.2">
      <c r="A694" s="464" t="s">
        <v>91</v>
      </c>
      <c r="B694" s="231"/>
      <c r="C694" s="231"/>
      <c r="D694" s="231"/>
      <c r="E694" s="231"/>
      <c r="F694" s="231"/>
      <c r="G694" s="231"/>
      <c r="H694" s="231"/>
      <c r="I694" s="231"/>
      <c r="J694" s="428"/>
      <c r="K694" s="425"/>
      <c r="L694" s="464" t="s">
        <v>91</v>
      </c>
      <c r="M694" s="231"/>
      <c r="N694" s="231"/>
      <c r="O694" s="231"/>
      <c r="P694" s="231"/>
      <c r="Q694" s="231"/>
      <c r="R694" s="231"/>
      <c r="S694" s="231"/>
      <c r="T694" s="231"/>
      <c r="U694" s="428"/>
    </row>
    <row r="695" spans="1:21" s="232" customFormat="1" ht="12.75" x14ac:dyDescent="0.2">
      <c r="A695" s="425"/>
      <c r="B695" s="231"/>
      <c r="C695" s="231"/>
      <c r="D695" s="231"/>
      <c r="E695" s="231"/>
      <c r="F695" s="231"/>
      <c r="G695" s="231"/>
      <c r="H695" s="231"/>
      <c r="I695" s="231"/>
      <c r="J695" s="428"/>
      <c r="K695" s="425"/>
      <c r="L695" s="425"/>
      <c r="M695" s="231"/>
      <c r="N695" s="231"/>
      <c r="O695" s="231"/>
      <c r="P695" s="231"/>
      <c r="Q695" s="231"/>
      <c r="R695" s="231"/>
      <c r="S695" s="231"/>
      <c r="T695" s="231"/>
      <c r="U695" s="428"/>
    </row>
    <row r="696" spans="1:21" s="232" customFormat="1" ht="12.75" customHeight="1" x14ac:dyDescent="0.2">
      <c r="A696" s="465" t="s">
        <v>89</v>
      </c>
      <c r="B696" s="233"/>
      <c r="C696" s="233"/>
      <c r="D696" s="233"/>
      <c r="E696" s="233"/>
      <c r="F696" s="233"/>
      <c r="G696" s="233"/>
      <c r="H696" s="233"/>
      <c r="I696" s="233"/>
      <c r="J696" s="452"/>
      <c r="K696" s="425"/>
      <c r="L696" s="465" t="s">
        <v>89</v>
      </c>
      <c r="M696" s="233"/>
      <c r="N696" s="233"/>
      <c r="O696" s="233"/>
      <c r="P696" s="233"/>
      <c r="Q696" s="233"/>
      <c r="R696" s="233"/>
      <c r="S696" s="233"/>
      <c r="T696" s="233"/>
      <c r="U696" s="452"/>
    </row>
    <row r="697" spans="1:21" s="232" customFormat="1" ht="20.100000000000001" customHeight="1" x14ac:dyDescent="0.2">
      <c r="A697" s="1005" t="str">
        <f>$A$1</f>
        <v>Circuit décathlon</v>
      </c>
      <c r="B697" s="1006"/>
      <c r="C697" s="1006"/>
      <c r="D697" s="1006"/>
      <c r="E697" s="1006"/>
      <c r="F697" s="1006"/>
      <c r="G697" s="1006"/>
      <c r="H697" s="1006"/>
      <c r="I697" s="1006"/>
      <c r="J697" s="1007"/>
      <c r="K697" s="425"/>
      <c r="L697" s="1005" t="str">
        <f>$A$1</f>
        <v>Circuit décathlon</v>
      </c>
      <c r="M697" s="1006"/>
      <c r="N697" s="1006"/>
      <c r="O697" s="1006"/>
      <c r="P697" s="1006"/>
      <c r="Q697" s="1006"/>
      <c r="R697" s="1006"/>
      <c r="S697" s="1006"/>
      <c r="T697" s="426"/>
      <c r="U697" s="449"/>
    </row>
    <row r="698" spans="1:21" s="232" customFormat="1" ht="15.75" x14ac:dyDescent="0.2">
      <c r="A698" s="425"/>
      <c r="B698" s="231"/>
      <c r="C698" s="231"/>
      <c r="D698" s="427" t="s">
        <v>83</v>
      </c>
      <c r="E698" s="474">
        <f>Rens!J41</f>
        <v>0</v>
      </c>
      <c r="F698" s="231"/>
      <c r="G698" s="231"/>
      <c r="H698" s="231"/>
      <c r="I698" s="231"/>
      <c r="J698" s="428"/>
      <c r="K698" s="425"/>
      <c r="L698" s="425"/>
      <c r="M698" s="231"/>
      <c r="N698" s="231"/>
      <c r="O698" s="427" t="s">
        <v>83</v>
      </c>
      <c r="P698" s="474">
        <f>Rens!J42</f>
        <v>0</v>
      </c>
      <c r="Q698" s="231"/>
      <c r="R698" s="231"/>
      <c r="S698" s="231"/>
      <c r="T698" s="231"/>
      <c r="U698" s="428"/>
    </row>
    <row r="699" spans="1:21" s="343" customFormat="1" ht="18.75" x14ac:dyDescent="0.2">
      <c r="A699" s="429" t="s">
        <v>84</v>
      </c>
      <c r="B699" s="430" t="str">
        <f>liste!$A$6</f>
        <v>Minimes</v>
      </c>
      <c r="C699" s="345"/>
      <c r="D699" s="345"/>
      <c r="E699" s="345"/>
      <c r="F699" s="345"/>
      <c r="G699" s="345"/>
      <c r="H699" s="345"/>
      <c r="I699" s="345"/>
      <c r="J699" s="431"/>
      <c r="K699" s="432"/>
      <c r="L699" s="429" t="s">
        <v>84</v>
      </c>
      <c r="M699" s="430" t="str">
        <f>$B$3</f>
        <v>Minimes</v>
      </c>
      <c r="N699" s="345"/>
      <c r="O699" s="345"/>
      <c r="P699" s="345"/>
      <c r="Q699" s="345"/>
      <c r="R699" s="345"/>
      <c r="S699" s="345"/>
      <c r="T699" s="345"/>
      <c r="U699" s="431"/>
    </row>
    <row r="700" spans="1:21" s="343" customFormat="1" ht="18.75" x14ac:dyDescent="0.2">
      <c r="A700" s="997" t="s">
        <v>234</v>
      </c>
      <c r="B700" s="998"/>
      <c r="C700" s="998"/>
      <c r="D700" s="998"/>
      <c r="E700" s="345"/>
      <c r="F700" s="345"/>
      <c r="G700" s="430" t="str">
        <f>Rens!I41</f>
        <v>A</v>
      </c>
      <c r="H700" s="430"/>
      <c r="I700" s="345"/>
      <c r="J700" s="431"/>
      <c r="K700" s="432"/>
      <c r="L700" s="997" t="str">
        <f>A700</f>
        <v>1/2 de Finale</v>
      </c>
      <c r="M700" s="998"/>
      <c r="N700" s="998"/>
      <c r="O700" s="998"/>
      <c r="P700" s="345"/>
      <c r="Q700" s="345"/>
      <c r="R700" s="430" t="str">
        <f>Rens!I42</f>
        <v>B</v>
      </c>
      <c r="S700" s="430"/>
      <c r="T700" s="430"/>
      <c r="U700" s="433"/>
    </row>
    <row r="701" spans="1:21" s="343" customFormat="1" ht="23.25" x14ac:dyDescent="0.2">
      <c r="A701" s="432"/>
      <c r="B701" s="434" t="str">
        <f>Tableau!P48</f>
        <v/>
      </c>
      <c r="C701" s="345"/>
      <c r="D701" s="345"/>
      <c r="E701" s="344" t="s">
        <v>178</v>
      </c>
      <c r="F701" s="234">
        <f>Rens!K41</f>
        <v>0</v>
      </c>
      <c r="G701" s="345"/>
      <c r="H701" s="345"/>
      <c r="I701" s="345"/>
      <c r="J701" s="431"/>
      <c r="K701" s="432"/>
      <c r="L701" s="432"/>
      <c r="M701" s="434" t="str">
        <f>Tableau!P40</f>
        <v/>
      </c>
      <c r="N701" s="345"/>
      <c r="O701" s="345"/>
      <c r="P701" s="344" t="s">
        <v>178</v>
      </c>
      <c r="Q701" s="234">
        <f>Rens!K42</f>
        <v>0</v>
      </c>
      <c r="R701" s="345"/>
      <c r="S701" s="345"/>
      <c r="T701" s="345"/>
      <c r="U701" s="431"/>
    </row>
    <row r="702" spans="1:21" s="442" customFormat="1" ht="15.75" x14ac:dyDescent="0.2">
      <c r="A702" s="435" t="s">
        <v>85</v>
      </c>
      <c r="B702" s="436" t="str">
        <f>IF(B701="","",VLOOKUP(B701,liste!$A$9:$G$145,2,FALSE))</f>
        <v/>
      </c>
      <c r="C702" s="437"/>
      <c r="D702" s="437"/>
      <c r="E702" s="437"/>
      <c r="F702" s="437"/>
      <c r="G702" s="437"/>
      <c r="H702" s="437"/>
      <c r="I702" s="438"/>
      <c r="J702" s="439"/>
      <c r="K702" s="440"/>
      <c r="L702" s="435" t="s">
        <v>85</v>
      </c>
      <c r="M702" s="436" t="str">
        <f>IF(M701="","",VLOOKUP(M701,liste!$A$9:$G$145,2,FALSE))</f>
        <v/>
      </c>
      <c r="N702" s="437"/>
      <c r="O702" s="476"/>
      <c r="P702" s="476"/>
      <c r="Q702" s="476"/>
      <c r="R702" s="476"/>
      <c r="S702" s="476"/>
      <c r="T702" s="476"/>
      <c r="U702" s="477"/>
    </row>
    <row r="703" spans="1:21" s="232" customFormat="1" ht="20.100000000000001" customHeight="1" x14ac:dyDescent="0.2">
      <c r="A703" s="425"/>
      <c r="B703" s="231"/>
      <c r="C703" s="231"/>
      <c r="D703" s="999" t="s">
        <v>19</v>
      </c>
      <c r="E703" s="1000"/>
      <c r="F703" s="1000"/>
      <c r="G703" s="1000"/>
      <c r="H703" s="1000"/>
      <c r="I703" s="1000"/>
      <c r="J703" s="1001"/>
      <c r="K703" s="425"/>
      <c r="L703" s="443"/>
      <c r="M703" s="444"/>
      <c r="N703" s="444"/>
      <c r="O703" s="1002" t="s">
        <v>19</v>
      </c>
      <c r="P703" s="1003"/>
      <c r="Q703" s="1003"/>
      <c r="R703" s="1003"/>
      <c r="S703" s="1003"/>
      <c r="T703" s="1003"/>
      <c r="U703" s="1004"/>
    </row>
    <row r="704" spans="1:21" s="232" customFormat="1" ht="20.100000000000001" customHeight="1" x14ac:dyDescent="0.2">
      <c r="A704" s="992" t="s">
        <v>86</v>
      </c>
      <c r="B704" s="993"/>
      <c r="C704" s="993"/>
      <c r="D704" s="467">
        <v>1</v>
      </c>
      <c r="E704" s="467">
        <v>2</v>
      </c>
      <c r="F704" s="467">
        <v>3</v>
      </c>
      <c r="G704" s="467">
        <v>4</v>
      </c>
      <c r="H704" s="467">
        <v>5</v>
      </c>
      <c r="I704" s="467">
        <v>6</v>
      </c>
      <c r="J704" s="467">
        <v>7</v>
      </c>
      <c r="K704" s="425"/>
      <c r="L704" s="992" t="s">
        <v>86</v>
      </c>
      <c r="M704" s="993"/>
      <c r="N704" s="993"/>
      <c r="O704" s="445">
        <v>1</v>
      </c>
      <c r="P704" s="445">
        <v>2</v>
      </c>
      <c r="Q704" s="445">
        <v>3</v>
      </c>
      <c r="R704" s="445">
        <v>4</v>
      </c>
      <c r="S704" s="446">
        <v>5</v>
      </c>
      <c r="T704" s="497">
        <v>6</v>
      </c>
      <c r="U704" s="446">
        <v>7</v>
      </c>
    </row>
    <row r="705" spans="1:21" s="232" customFormat="1" ht="20.100000000000001" customHeight="1" x14ac:dyDescent="0.2">
      <c r="A705" s="500"/>
      <c r="B705" s="501"/>
      <c r="C705" s="501"/>
      <c r="D705" s="994" t="s">
        <v>92</v>
      </c>
      <c r="E705" s="995"/>
      <c r="F705" s="995"/>
      <c r="G705" s="995"/>
      <c r="H705" s="995"/>
      <c r="I705" s="995"/>
      <c r="J705" s="996"/>
      <c r="K705" s="425"/>
      <c r="L705" s="500"/>
      <c r="M705" s="501"/>
      <c r="N705" s="501"/>
      <c r="O705" s="994" t="s">
        <v>92</v>
      </c>
      <c r="P705" s="995"/>
      <c r="Q705" s="995"/>
      <c r="R705" s="995"/>
      <c r="S705" s="995"/>
      <c r="T705" s="995"/>
      <c r="U705" s="996"/>
    </row>
    <row r="706" spans="1:21" s="232" customFormat="1" ht="18.75" x14ac:dyDescent="0.2">
      <c r="A706" s="498">
        <f>Tableau!AL14</f>
        <v>0</v>
      </c>
      <c r="B706" s="231"/>
      <c r="C706" s="231"/>
      <c r="D706" s="447"/>
      <c r="E706" s="447"/>
      <c r="F706" s="447"/>
      <c r="G706" s="447"/>
      <c r="H706" s="447"/>
      <c r="I706" s="447"/>
      <c r="J706" s="447"/>
      <c r="K706" s="425"/>
      <c r="L706" s="498">
        <f>Tableau!AL34</f>
        <v>0</v>
      </c>
      <c r="M706" s="231"/>
      <c r="N706" s="231"/>
      <c r="O706" s="448"/>
      <c r="P706" s="448"/>
      <c r="Q706" s="448"/>
      <c r="R706" s="448"/>
      <c r="S706" s="448"/>
      <c r="T706" s="449"/>
      <c r="U706" s="448"/>
    </row>
    <row r="707" spans="1:21" s="232" customFormat="1" ht="20.100000000000001" customHeight="1" x14ac:dyDescent="0.2">
      <c r="A707" s="990" t="e">
        <f>IF(A706="","",VLOOKUP(A706,liste!$A$9:$G$145,2,FALSE))</f>
        <v>#N/A</v>
      </c>
      <c r="B707" s="991" t="e">
        <v>#N/A</v>
      </c>
      <c r="C707" s="991" t="e">
        <v>#N/A</v>
      </c>
      <c r="D707" s="447"/>
      <c r="E707" s="447"/>
      <c r="F707" s="447"/>
      <c r="G707" s="447"/>
      <c r="H707" s="447"/>
      <c r="I707" s="447"/>
      <c r="J707" s="447"/>
      <c r="K707" s="425"/>
      <c r="L707" s="990" t="e">
        <f>IF(L706="","",VLOOKUP(L706,liste!$A$9:$G$145,2,FALSE))</f>
        <v>#N/A</v>
      </c>
      <c r="M707" s="991" t="e">
        <v>#N/A</v>
      </c>
      <c r="N707" s="991" t="e">
        <v>#N/A</v>
      </c>
      <c r="O707" s="447"/>
      <c r="P707" s="447"/>
      <c r="Q707" s="447"/>
      <c r="R707" s="447"/>
      <c r="S707" s="447"/>
      <c r="T707" s="428"/>
      <c r="U707" s="447"/>
    </row>
    <row r="708" spans="1:21" s="232" customFormat="1" ht="20.100000000000001" customHeight="1" x14ac:dyDescent="0.2">
      <c r="A708" s="425"/>
      <c r="B708" s="231"/>
      <c r="C708" s="450" t="e">
        <f>IF(A706="","",VLOOKUP(A706,liste!$A$9:$G$145,4,FALSE))</f>
        <v>#N/A</v>
      </c>
      <c r="D708" s="451"/>
      <c r="E708" s="451"/>
      <c r="F708" s="451"/>
      <c r="G708" s="451"/>
      <c r="H708" s="451"/>
      <c r="I708" s="451"/>
      <c r="J708" s="451"/>
      <c r="K708" s="425"/>
      <c r="L708" s="425"/>
      <c r="M708" s="231"/>
      <c r="N708" s="450" t="e">
        <f>IF(L706="","",VLOOKUP(L706,liste!$A$9:$G$145,4,FALSE))</f>
        <v>#N/A</v>
      </c>
      <c r="O708" s="451"/>
      <c r="P708" s="451"/>
      <c r="Q708" s="451"/>
      <c r="R708" s="451"/>
      <c r="S708" s="451"/>
      <c r="T708" s="452"/>
      <c r="U708" s="451"/>
    </row>
    <row r="709" spans="1:21" s="232" customFormat="1" ht="15.75" x14ac:dyDescent="0.2">
      <c r="A709" s="453" t="e">
        <f>IF(A706="","",VLOOKUP(A706,liste!$A$9:$G$145,3,FALSE))</f>
        <v>#N/A</v>
      </c>
      <c r="B709" s="231"/>
      <c r="C709" s="231"/>
      <c r="D709" s="455"/>
      <c r="E709" s="455"/>
      <c r="F709" s="455"/>
      <c r="G709" s="455"/>
      <c r="H709" s="455"/>
      <c r="I709" s="455"/>
      <c r="J709" s="455"/>
      <c r="K709" s="425"/>
      <c r="L709" s="453" t="e">
        <f>IF(L706="","",VLOOKUP(L706,liste!$A$9:$G$145,3,FALSE))</f>
        <v>#N/A</v>
      </c>
      <c r="M709" s="231"/>
      <c r="N709" s="231"/>
      <c r="O709" s="454"/>
      <c r="P709" s="454"/>
      <c r="Q709" s="454"/>
      <c r="R709" s="454"/>
      <c r="S709" s="454"/>
      <c r="T709" s="456"/>
      <c r="U709" s="454"/>
    </row>
    <row r="710" spans="1:21" s="232" customFormat="1" ht="12.75" x14ac:dyDescent="0.2">
      <c r="A710" s="425"/>
      <c r="B710" s="230" t="s">
        <v>9</v>
      </c>
      <c r="C710" s="231"/>
      <c r="D710" s="458"/>
      <c r="E710" s="458"/>
      <c r="F710" s="458"/>
      <c r="G710" s="458"/>
      <c r="H710" s="458"/>
      <c r="I710" s="458"/>
      <c r="J710" s="458"/>
      <c r="K710" s="425"/>
      <c r="L710" s="425"/>
      <c r="M710" s="230" t="s">
        <v>9</v>
      </c>
      <c r="N710" s="231"/>
      <c r="O710" s="457"/>
      <c r="P710" s="457"/>
      <c r="Q710" s="457"/>
      <c r="R710" s="457"/>
      <c r="S710" s="457"/>
      <c r="T710" s="459"/>
      <c r="U710" s="457"/>
    </row>
    <row r="711" spans="1:21" s="232" customFormat="1" ht="18.75" x14ac:dyDescent="0.2">
      <c r="A711" s="498">
        <f>Tableau!AL24</f>
        <v>0</v>
      </c>
      <c r="B711" s="231"/>
      <c r="C711" s="231"/>
      <c r="D711" s="448"/>
      <c r="E711" s="448"/>
      <c r="F711" s="448"/>
      <c r="G711" s="448"/>
      <c r="H711" s="448"/>
      <c r="I711" s="448"/>
      <c r="J711" s="448"/>
      <c r="K711" s="425"/>
      <c r="L711" s="498">
        <f>Tableau!AL44</f>
        <v>0</v>
      </c>
      <c r="M711" s="231"/>
      <c r="N711" s="231"/>
      <c r="O711" s="448"/>
      <c r="P711" s="448"/>
      <c r="Q711" s="448"/>
      <c r="R711" s="448"/>
      <c r="S711" s="448"/>
      <c r="T711" s="449"/>
      <c r="U711" s="448"/>
    </row>
    <row r="712" spans="1:21" s="232" customFormat="1" ht="20.100000000000001" customHeight="1" x14ac:dyDescent="0.2">
      <c r="A712" s="990" t="e">
        <f>IF(A711="","",VLOOKUP(A711,liste!$A$9:$G$145,2,FALSE))</f>
        <v>#N/A</v>
      </c>
      <c r="B712" s="991" t="e">
        <v>#N/A</v>
      </c>
      <c r="C712" s="991" t="e">
        <v>#N/A</v>
      </c>
      <c r="D712" s="447"/>
      <c r="E712" s="447"/>
      <c r="F712" s="447"/>
      <c r="G712" s="447"/>
      <c r="H712" s="447"/>
      <c r="I712" s="447"/>
      <c r="J712" s="447"/>
      <c r="K712" s="425"/>
      <c r="L712" s="990" t="e">
        <f>IF(L711="","",VLOOKUP(L711,liste!$A$9:$G$145,2,FALSE))</f>
        <v>#N/A</v>
      </c>
      <c r="M712" s="991" t="e">
        <v>#N/A</v>
      </c>
      <c r="N712" s="991" t="e">
        <v>#N/A</v>
      </c>
      <c r="O712" s="447"/>
      <c r="P712" s="447"/>
      <c r="Q712" s="447"/>
      <c r="R712" s="447"/>
      <c r="S712" s="447"/>
      <c r="T712" s="428"/>
      <c r="U712" s="447"/>
    </row>
    <row r="713" spans="1:21" s="232" customFormat="1" ht="20.100000000000001" customHeight="1" x14ac:dyDescent="0.2">
      <c r="A713" s="425"/>
      <c r="B713" s="231"/>
      <c r="C713" s="460" t="e">
        <f>IF(A711="","",VLOOKUP(A711,liste!$A$9:$G$145,4,FALSE))</f>
        <v>#N/A</v>
      </c>
      <c r="D713" s="451"/>
      <c r="E713" s="451"/>
      <c r="F713" s="451"/>
      <c r="G713" s="451"/>
      <c r="H713" s="451"/>
      <c r="I713" s="451"/>
      <c r="J713" s="451"/>
      <c r="K713" s="425"/>
      <c r="L713" s="425"/>
      <c r="M713" s="231"/>
      <c r="N713" s="460" t="e">
        <f>IF(L711="","",VLOOKUP(L711,liste!$A$9:$G$145,4,FALSE))</f>
        <v>#N/A</v>
      </c>
      <c r="O713" s="451"/>
      <c r="P713" s="451"/>
      <c r="Q713" s="451"/>
      <c r="R713" s="451"/>
      <c r="S713" s="451"/>
      <c r="T713" s="452"/>
      <c r="U713" s="451"/>
    </row>
    <row r="714" spans="1:21" s="232" customFormat="1" ht="15.75" x14ac:dyDescent="0.2">
      <c r="A714" s="453" t="e">
        <f>IF(A711="","",VLOOKUP(A711,liste!$A$9:$G$145,3,FALSE))</f>
        <v>#N/A</v>
      </c>
      <c r="B714" s="231"/>
      <c r="C714" s="231"/>
      <c r="D714" s="455"/>
      <c r="E714" s="455"/>
      <c r="F714" s="455"/>
      <c r="G714" s="455"/>
      <c r="H714" s="455"/>
      <c r="I714" s="455"/>
      <c r="J714" s="455"/>
      <c r="K714" s="425"/>
      <c r="L714" s="453" t="e">
        <f>IF(L711="","",VLOOKUP(L711,liste!$A$9:$G$145,3,FALSE))</f>
        <v>#N/A</v>
      </c>
      <c r="M714" s="231"/>
      <c r="N714" s="231"/>
      <c r="O714" s="454"/>
      <c r="P714" s="454"/>
      <c r="Q714" s="454"/>
      <c r="R714" s="454"/>
      <c r="S714" s="454"/>
      <c r="T714" s="456"/>
      <c r="U714" s="454"/>
    </row>
    <row r="715" spans="1:21" s="232" customFormat="1" ht="12.75" x14ac:dyDescent="0.2">
      <c r="A715" s="425"/>
      <c r="B715" s="231"/>
      <c r="C715" s="231"/>
      <c r="D715" s="458"/>
      <c r="E715" s="458"/>
      <c r="F715" s="458"/>
      <c r="G715" s="458"/>
      <c r="H715" s="458"/>
      <c r="I715" s="458"/>
      <c r="J715" s="458"/>
      <c r="K715" s="425"/>
      <c r="L715" s="425"/>
      <c r="M715" s="231"/>
      <c r="N715" s="231"/>
      <c r="O715" s="457"/>
      <c r="P715" s="457"/>
      <c r="Q715" s="457"/>
      <c r="R715" s="457"/>
      <c r="S715" s="457"/>
      <c r="T715" s="459"/>
      <c r="U715" s="457"/>
    </row>
    <row r="716" spans="1:21" s="232" customFormat="1" ht="12.75" x14ac:dyDescent="0.2">
      <c r="A716" s="425"/>
      <c r="B716" s="231"/>
      <c r="C716" s="231"/>
      <c r="D716" s="231"/>
      <c r="E716" s="231"/>
      <c r="F716" s="231"/>
      <c r="G716" s="231"/>
      <c r="H716" s="231"/>
      <c r="I716" s="231"/>
      <c r="J716" s="428"/>
      <c r="K716" s="425"/>
      <c r="L716" s="425"/>
      <c r="M716" s="231"/>
      <c r="N716" s="231"/>
      <c r="O716" s="231"/>
      <c r="P716" s="231"/>
      <c r="Q716" s="231"/>
      <c r="R716" s="231"/>
      <c r="S716" s="231"/>
      <c r="T716" s="231"/>
      <c r="U716" s="428"/>
    </row>
    <row r="717" spans="1:21" s="232" customFormat="1" ht="20.100000000000001" customHeight="1" x14ac:dyDescent="0.2">
      <c r="A717" s="988" t="s">
        <v>90</v>
      </c>
      <c r="B717" s="989"/>
      <c r="C717" s="989"/>
      <c r="D717" s="461" t="s">
        <v>77</v>
      </c>
      <c r="E717" s="461" t="s">
        <v>87</v>
      </c>
      <c r="F717" s="461" t="s">
        <v>88</v>
      </c>
      <c r="G717" s="231"/>
      <c r="H717" s="231"/>
      <c r="I717" s="231"/>
      <c r="J717" s="428"/>
      <c r="K717" s="425"/>
      <c r="L717" s="988" t="s">
        <v>90</v>
      </c>
      <c r="M717" s="989"/>
      <c r="N717" s="989"/>
      <c r="O717" s="461" t="s">
        <v>77</v>
      </c>
      <c r="P717" s="461" t="s">
        <v>87</v>
      </c>
      <c r="Q717" s="461" t="s">
        <v>88</v>
      </c>
      <c r="R717" s="231"/>
      <c r="S717" s="231"/>
      <c r="T717" s="231"/>
      <c r="U717" s="428"/>
    </row>
    <row r="718" spans="1:21" s="232" customFormat="1" ht="20.100000000000001" customHeight="1" x14ac:dyDescent="0.2">
      <c r="A718" s="462" t="e">
        <f>A707</f>
        <v>#N/A</v>
      </c>
      <c r="B718" s="426"/>
      <c r="C718" s="449"/>
      <c r="D718" s="448"/>
      <c r="E718" s="448"/>
      <c r="F718" s="448"/>
      <c r="G718" s="231"/>
      <c r="H718" s="231"/>
      <c r="I718" s="231"/>
      <c r="J718" s="428"/>
      <c r="K718" s="425"/>
      <c r="L718" s="462" t="e">
        <f>L707</f>
        <v>#N/A</v>
      </c>
      <c r="M718" s="426"/>
      <c r="N718" s="449"/>
      <c r="O718" s="448"/>
      <c r="P718" s="448"/>
      <c r="Q718" s="448"/>
      <c r="R718" s="231"/>
      <c r="S718" s="231"/>
      <c r="T718" s="231"/>
      <c r="U718" s="428"/>
    </row>
    <row r="719" spans="1:21" s="232" customFormat="1" ht="20.100000000000001" customHeight="1" x14ac:dyDescent="0.2">
      <c r="A719" s="463"/>
      <c r="B719" s="233"/>
      <c r="C719" s="452"/>
      <c r="D719" s="451"/>
      <c r="E719" s="451"/>
      <c r="F719" s="451"/>
      <c r="G719" s="231"/>
      <c r="H719" s="231"/>
      <c r="I719" s="231"/>
      <c r="J719" s="428"/>
      <c r="K719" s="425"/>
      <c r="L719" s="463"/>
      <c r="M719" s="233"/>
      <c r="N719" s="452"/>
      <c r="O719" s="451"/>
      <c r="P719" s="451"/>
      <c r="Q719" s="451"/>
      <c r="R719" s="231"/>
      <c r="S719" s="231"/>
      <c r="T719" s="231"/>
      <c r="U719" s="428"/>
    </row>
    <row r="720" spans="1:21" s="232" customFormat="1" ht="20.100000000000001" customHeight="1" x14ac:dyDescent="0.2">
      <c r="A720" s="462" t="e">
        <f>A712</f>
        <v>#N/A</v>
      </c>
      <c r="B720" s="426"/>
      <c r="C720" s="449"/>
      <c r="D720" s="448"/>
      <c r="E720" s="448"/>
      <c r="F720" s="448"/>
      <c r="G720" s="231"/>
      <c r="H720" s="231"/>
      <c r="I720" s="231"/>
      <c r="J720" s="428"/>
      <c r="K720" s="425"/>
      <c r="L720" s="462" t="e">
        <f>L712</f>
        <v>#N/A</v>
      </c>
      <c r="M720" s="426"/>
      <c r="N720" s="449"/>
      <c r="O720" s="448"/>
      <c r="P720" s="448"/>
      <c r="Q720" s="448"/>
      <c r="R720" s="231"/>
      <c r="S720" s="231"/>
      <c r="T720" s="231"/>
      <c r="U720" s="428"/>
    </row>
    <row r="721" spans="1:21" s="232" customFormat="1" ht="20.100000000000001" customHeight="1" x14ac:dyDescent="0.2">
      <c r="A721" s="463"/>
      <c r="B721" s="233"/>
      <c r="C721" s="452"/>
      <c r="D721" s="451"/>
      <c r="E721" s="451"/>
      <c r="F721" s="451"/>
      <c r="G721" s="231"/>
      <c r="H721" s="231"/>
      <c r="I721" s="231"/>
      <c r="J721" s="428"/>
      <c r="K721" s="425"/>
      <c r="L721" s="463"/>
      <c r="M721" s="233"/>
      <c r="N721" s="452"/>
      <c r="O721" s="451"/>
      <c r="P721" s="451"/>
      <c r="Q721" s="451"/>
      <c r="R721" s="231"/>
      <c r="S721" s="231"/>
      <c r="T721" s="231"/>
      <c r="U721" s="428"/>
    </row>
    <row r="722" spans="1:21" s="232" customFormat="1" ht="12.75" x14ac:dyDescent="0.2">
      <c r="A722" s="464" t="s">
        <v>91</v>
      </c>
      <c r="B722" s="231"/>
      <c r="C722" s="231"/>
      <c r="D722" s="231"/>
      <c r="E722" s="231"/>
      <c r="F722" s="231"/>
      <c r="G722" s="231"/>
      <c r="H722" s="231"/>
      <c r="I722" s="231"/>
      <c r="J722" s="428"/>
      <c r="K722" s="425"/>
      <c r="L722" s="464" t="s">
        <v>91</v>
      </c>
      <c r="M722" s="231"/>
      <c r="N722" s="231"/>
      <c r="O722" s="231"/>
      <c r="P722" s="231"/>
      <c r="Q722" s="231"/>
      <c r="R722" s="231"/>
      <c r="S722" s="231"/>
      <c r="T722" s="231"/>
      <c r="U722" s="428"/>
    </row>
    <row r="723" spans="1:21" s="232" customFormat="1" ht="12.75" x14ac:dyDescent="0.2">
      <c r="A723" s="425"/>
      <c r="B723" s="231"/>
      <c r="C723" s="231"/>
      <c r="D723" s="231"/>
      <c r="E723" s="231"/>
      <c r="F723" s="231"/>
      <c r="G723" s="231"/>
      <c r="H723" s="231"/>
      <c r="I723" s="231"/>
      <c r="J723" s="428"/>
      <c r="K723" s="425"/>
      <c r="L723" s="425"/>
      <c r="M723" s="231"/>
      <c r="N723" s="231"/>
      <c r="O723" s="231"/>
      <c r="P723" s="231"/>
      <c r="Q723" s="231"/>
      <c r="R723" s="231"/>
      <c r="S723" s="231"/>
      <c r="T723" s="231"/>
      <c r="U723" s="428"/>
    </row>
    <row r="724" spans="1:21" s="232" customFormat="1" ht="12.75" x14ac:dyDescent="0.2">
      <c r="A724" s="465" t="s">
        <v>89</v>
      </c>
      <c r="B724" s="233"/>
      <c r="C724" s="233"/>
      <c r="D724" s="233"/>
      <c r="E724" s="233"/>
      <c r="F724" s="233"/>
      <c r="G724" s="233"/>
      <c r="H724" s="233"/>
      <c r="I724" s="233"/>
      <c r="J724" s="452"/>
      <c r="K724" s="425"/>
      <c r="L724" s="465" t="s">
        <v>89</v>
      </c>
      <c r="M724" s="233"/>
      <c r="N724" s="233"/>
      <c r="O724" s="233"/>
      <c r="P724" s="233"/>
      <c r="Q724" s="233"/>
      <c r="R724" s="233"/>
      <c r="S724" s="233"/>
      <c r="T724" s="233"/>
      <c r="U724" s="452"/>
    </row>
    <row r="725" spans="1:21" s="232" customFormat="1" ht="30" customHeight="1" x14ac:dyDescent="0.2"/>
    <row r="726" spans="1:21" s="232" customFormat="1" ht="30" customHeight="1" x14ac:dyDescent="0.2"/>
    <row r="727" spans="1:21" s="232" customFormat="1" ht="20.100000000000001" customHeight="1" x14ac:dyDescent="0.2">
      <c r="A727" s="1005" t="str">
        <f>$A$1</f>
        <v>Circuit décathlon</v>
      </c>
      <c r="B727" s="1006"/>
      <c r="C727" s="1006"/>
      <c r="D727" s="1006"/>
      <c r="E727" s="1006"/>
      <c r="F727" s="1006"/>
      <c r="G727" s="1006"/>
      <c r="H727" s="1006"/>
      <c r="I727" s="1006"/>
      <c r="J727" s="1007"/>
      <c r="K727" s="425"/>
      <c r="L727" s="1005" t="str">
        <f>$A$1</f>
        <v>Circuit décathlon</v>
      </c>
      <c r="M727" s="1006"/>
      <c r="N727" s="1006"/>
      <c r="O727" s="1006"/>
      <c r="P727" s="1006"/>
      <c r="Q727" s="1006"/>
      <c r="R727" s="1006"/>
      <c r="S727" s="1006"/>
      <c r="T727" s="426"/>
      <c r="U727" s="449"/>
    </row>
    <row r="728" spans="1:21" s="232" customFormat="1" ht="15.75" x14ac:dyDescent="0.2">
      <c r="A728" s="425"/>
      <c r="B728" s="231"/>
      <c r="C728" s="231"/>
      <c r="D728" s="427" t="s">
        <v>83</v>
      </c>
      <c r="E728" s="474">
        <f>Rens!J44</f>
        <v>0</v>
      </c>
      <c r="F728" s="474"/>
      <c r="G728" s="231"/>
      <c r="H728" s="231"/>
      <c r="I728" s="231"/>
      <c r="J728" s="428"/>
      <c r="K728" s="425"/>
      <c r="L728" s="425"/>
      <c r="M728" s="231"/>
      <c r="N728" s="231"/>
      <c r="O728" s="427" t="s">
        <v>83</v>
      </c>
      <c r="P728" s="474">
        <f>Rens!J45</f>
        <v>0</v>
      </c>
      <c r="Q728" s="474"/>
      <c r="R728" s="231"/>
      <c r="S728" s="231"/>
      <c r="T728" s="231"/>
      <c r="U728" s="428"/>
    </row>
    <row r="729" spans="1:21" s="343" customFormat="1" ht="18.75" x14ac:dyDescent="0.2">
      <c r="A729" s="429" t="s">
        <v>84</v>
      </c>
      <c r="B729" s="430" t="str">
        <f>$B$3</f>
        <v>Minimes</v>
      </c>
      <c r="C729" s="345"/>
      <c r="D729" s="345"/>
      <c r="E729" s="345"/>
      <c r="F729" s="345"/>
      <c r="G729" s="345"/>
      <c r="H729" s="345"/>
      <c r="I729" s="345"/>
      <c r="J729" s="431"/>
      <c r="K729" s="432"/>
      <c r="L729" s="429" t="s">
        <v>84</v>
      </c>
      <c r="M729" s="430" t="str">
        <f>$B$3</f>
        <v>Minimes</v>
      </c>
      <c r="N729" s="345"/>
      <c r="O729" s="345"/>
      <c r="P729" s="345"/>
      <c r="Q729" s="345"/>
      <c r="R729" s="345"/>
      <c r="S729" s="345"/>
      <c r="T729" s="345"/>
      <c r="U729" s="431"/>
    </row>
    <row r="730" spans="1:21" s="343" customFormat="1" ht="18.75" x14ac:dyDescent="0.2">
      <c r="A730" s="997" t="s">
        <v>235</v>
      </c>
      <c r="B730" s="998"/>
      <c r="C730" s="998"/>
      <c r="D730" s="998"/>
      <c r="E730" s="345"/>
      <c r="F730" s="345"/>
      <c r="G730" s="430" t="str">
        <f>Rens!I44</f>
        <v>battu C/D</v>
      </c>
      <c r="H730" s="430"/>
      <c r="I730" s="345"/>
      <c r="J730" s="431"/>
      <c r="K730" s="432"/>
      <c r="L730" s="997" t="str">
        <f>A730</f>
        <v>Places 5 à 8</v>
      </c>
      <c r="M730" s="998"/>
      <c r="N730" s="998"/>
      <c r="O730" s="998"/>
      <c r="P730" s="345"/>
      <c r="Q730" s="345"/>
      <c r="R730" s="466" t="str">
        <f>Rens!I45</f>
        <v>battu E/F</v>
      </c>
      <c r="S730" s="430"/>
      <c r="T730" s="466"/>
      <c r="U730" s="433"/>
    </row>
    <row r="731" spans="1:21" s="343" customFormat="1" ht="23.25" x14ac:dyDescent="0.2">
      <c r="A731" s="432"/>
      <c r="B731" s="434" t="str">
        <f>Tableau!P38</f>
        <v/>
      </c>
      <c r="C731" s="345"/>
      <c r="D731" s="345"/>
      <c r="E731" s="344" t="s">
        <v>178</v>
      </c>
      <c r="F731" s="234">
        <f>Rens!K44</f>
        <v>0</v>
      </c>
      <c r="G731" s="345"/>
      <c r="H731" s="345"/>
      <c r="I731" s="345"/>
      <c r="J731" s="431"/>
      <c r="K731" s="432"/>
      <c r="L731" s="432"/>
      <c r="M731" s="434" t="str">
        <f>Tableau!P30</f>
        <v/>
      </c>
      <c r="N731" s="345"/>
      <c r="O731" s="345"/>
      <c r="P731" s="344" t="s">
        <v>178</v>
      </c>
      <c r="Q731" s="234">
        <f>Rens!K45</f>
        <v>0</v>
      </c>
      <c r="R731" s="345"/>
      <c r="S731" s="345"/>
      <c r="T731" s="345"/>
      <c r="U731" s="431"/>
    </row>
    <row r="732" spans="1:21" s="442" customFormat="1" ht="15.75" x14ac:dyDescent="0.2">
      <c r="A732" s="435" t="s">
        <v>85</v>
      </c>
      <c r="B732" s="436" t="str">
        <f>IF(B731="","",VLOOKUP(B731,liste!$A$9:$G$145,2,FALSE))</f>
        <v/>
      </c>
      <c r="C732" s="437"/>
      <c r="D732" s="437"/>
      <c r="E732" s="437"/>
      <c r="F732" s="437"/>
      <c r="G732" s="437"/>
      <c r="H732" s="437"/>
      <c r="I732" s="438"/>
      <c r="J732" s="439"/>
      <c r="K732" s="440"/>
      <c r="L732" s="435" t="s">
        <v>85</v>
      </c>
      <c r="M732" s="436" t="str">
        <f>IF(M731="","",VLOOKUP(M731,liste!$A$9:$G$145,2,FALSE))</f>
        <v/>
      </c>
      <c r="N732" s="437"/>
      <c r="O732" s="437"/>
      <c r="P732" s="437"/>
      <c r="Q732" s="437"/>
      <c r="R732" s="437"/>
      <c r="S732" s="437"/>
      <c r="T732" s="437"/>
      <c r="U732" s="441"/>
    </row>
    <row r="733" spans="1:21" s="232" customFormat="1" ht="20.100000000000001" customHeight="1" x14ac:dyDescent="0.2">
      <c r="A733" s="425"/>
      <c r="D733" s="999" t="s">
        <v>19</v>
      </c>
      <c r="E733" s="1000"/>
      <c r="F733" s="1000"/>
      <c r="G733" s="1000"/>
      <c r="H733" s="1000"/>
      <c r="I733" s="1000"/>
      <c r="J733" s="1001"/>
      <c r="K733" s="425"/>
      <c r="L733" s="443"/>
      <c r="M733" s="444"/>
      <c r="N733" s="444"/>
      <c r="O733" s="1002" t="s">
        <v>19</v>
      </c>
      <c r="P733" s="1003"/>
      <c r="Q733" s="1003"/>
      <c r="R733" s="1003"/>
      <c r="S733" s="1003"/>
      <c r="T733" s="1003"/>
      <c r="U733" s="1004"/>
    </row>
    <row r="734" spans="1:21" s="232" customFormat="1" ht="20.100000000000001" customHeight="1" x14ac:dyDescent="0.2">
      <c r="A734" s="992" t="s">
        <v>86</v>
      </c>
      <c r="B734" s="993"/>
      <c r="C734" s="993"/>
      <c r="D734" s="467">
        <v>1</v>
      </c>
      <c r="E734" s="467">
        <v>2</v>
      </c>
      <c r="F734" s="467">
        <v>3</v>
      </c>
      <c r="G734" s="467">
        <v>4</v>
      </c>
      <c r="H734" s="467">
        <v>5</v>
      </c>
      <c r="I734" s="467">
        <v>6</v>
      </c>
      <c r="J734" s="467">
        <v>7</v>
      </c>
      <c r="K734" s="425"/>
      <c r="L734" s="992" t="s">
        <v>86</v>
      </c>
      <c r="M734" s="993"/>
      <c r="N734" s="993"/>
      <c r="O734" s="445">
        <v>1</v>
      </c>
      <c r="P734" s="445">
        <v>2</v>
      </c>
      <c r="Q734" s="445">
        <v>3</v>
      </c>
      <c r="R734" s="445">
        <v>4</v>
      </c>
      <c r="S734" s="446">
        <v>5</v>
      </c>
      <c r="T734" s="497">
        <v>6</v>
      </c>
      <c r="U734" s="446">
        <v>7</v>
      </c>
    </row>
    <row r="735" spans="1:21" s="232" customFormat="1" ht="20.100000000000001" customHeight="1" x14ac:dyDescent="0.2">
      <c r="A735" s="500"/>
      <c r="B735" s="501"/>
      <c r="C735" s="501"/>
      <c r="D735" s="994" t="s">
        <v>92</v>
      </c>
      <c r="E735" s="995"/>
      <c r="F735" s="995"/>
      <c r="G735" s="995"/>
      <c r="H735" s="995"/>
      <c r="I735" s="995"/>
      <c r="J735" s="996"/>
      <c r="K735" s="425"/>
      <c r="L735" s="500"/>
      <c r="M735" s="501"/>
      <c r="N735" s="501"/>
      <c r="O735" s="994" t="s">
        <v>92</v>
      </c>
      <c r="P735" s="995"/>
      <c r="Q735" s="995"/>
      <c r="R735" s="995"/>
      <c r="S735" s="995"/>
      <c r="T735" s="995"/>
      <c r="U735" s="996"/>
    </row>
    <row r="736" spans="1:21" s="232" customFormat="1" ht="18.75" x14ac:dyDescent="0.2">
      <c r="A736" s="498" t="str">
        <f>Tableau!AM65</f>
        <v/>
      </c>
      <c r="C736" s="231"/>
      <c r="D736" s="448"/>
      <c r="E736" s="448"/>
      <c r="F736" s="448"/>
      <c r="G736" s="448"/>
      <c r="H736" s="448"/>
      <c r="I736" s="448"/>
      <c r="J736" s="448"/>
      <c r="K736" s="425"/>
      <c r="L736" s="498" t="str">
        <f>Tableau!AM69</f>
        <v/>
      </c>
      <c r="M736" s="231"/>
      <c r="N736" s="231"/>
      <c r="O736" s="448"/>
      <c r="P736" s="448"/>
      <c r="Q736" s="448"/>
      <c r="R736" s="448"/>
      <c r="S736" s="448"/>
      <c r="T736" s="449"/>
      <c r="U736" s="448"/>
    </row>
    <row r="737" spans="1:21" s="232" customFormat="1" ht="20.100000000000001" customHeight="1" x14ac:dyDescent="0.2">
      <c r="A737" s="990" t="str">
        <f>IF(A736="","",VLOOKUP(A736,liste!$A$9:$G$145,2,FALSE))</f>
        <v/>
      </c>
      <c r="B737" s="991" t="s">
        <v>288</v>
      </c>
      <c r="C737" s="991" t="s">
        <v>288</v>
      </c>
      <c r="D737" s="447"/>
      <c r="E737" s="447"/>
      <c r="F737" s="447"/>
      <c r="G737" s="447"/>
      <c r="H737" s="447"/>
      <c r="I737" s="447"/>
      <c r="J737" s="447"/>
      <c r="K737" s="425"/>
      <c r="L737" s="990" t="str">
        <f>IF(L736="","",VLOOKUP(L736,liste!$A$9:$G$145,2,FALSE))</f>
        <v/>
      </c>
      <c r="M737" s="991" t="s">
        <v>288</v>
      </c>
      <c r="N737" s="991" t="s">
        <v>288</v>
      </c>
      <c r="O737" s="447"/>
      <c r="P737" s="447"/>
      <c r="Q737" s="447"/>
      <c r="R737" s="447"/>
      <c r="S737" s="447"/>
      <c r="T737" s="428"/>
      <c r="U737" s="447"/>
    </row>
    <row r="738" spans="1:21" s="232" customFormat="1" ht="20.100000000000001" customHeight="1" x14ac:dyDescent="0.2">
      <c r="A738" s="440"/>
      <c r="B738" s="438"/>
      <c r="C738" s="450" t="str">
        <f>IF(A736="","",VLOOKUP(A736,liste!$A$9:$G$145,4,FALSE))</f>
        <v/>
      </c>
      <c r="D738" s="451"/>
      <c r="E738" s="451"/>
      <c r="F738" s="451"/>
      <c r="G738" s="451"/>
      <c r="H738" s="451"/>
      <c r="I738" s="451"/>
      <c r="J738" s="451"/>
      <c r="K738" s="425"/>
      <c r="L738" s="440"/>
      <c r="M738" s="438"/>
      <c r="N738" s="450" t="str">
        <f>IF(L736="","",VLOOKUP(L736,liste!$A$9:$G$145,4,FALSE))</f>
        <v/>
      </c>
      <c r="O738" s="451"/>
      <c r="P738" s="451"/>
      <c r="Q738" s="451"/>
      <c r="R738" s="451"/>
      <c r="S738" s="451"/>
      <c r="T738" s="452"/>
      <c r="U738" s="451"/>
    </row>
    <row r="739" spans="1:21" s="232" customFormat="1" ht="15.75" x14ac:dyDescent="0.2">
      <c r="A739" s="468" t="str">
        <f>IF(A736="","",VLOOKUP(A736,liste!$A$9:$G$145,3,FALSE))</f>
        <v/>
      </c>
      <c r="B739" s="438"/>
      <c r="C739" s="438"/>
      <c r="D739" s="455"/>
      <c r="E739" s="455"/>
      <c r="F739" s="455"/>
      <c r="G739" s="455"/>
      <c r="H739" s="455"/>
      <c r="I739" s="455"/>
      <c r="J739" s="455"/>
      <c r="K739" s="425"/>
      <c r="L739" s="468" t="str">
        <f>IF(L736="","",VLOOKUP(L736,liste!$A$9:$G$145,3,FALSE))</f>
        <v/>
      </c>
      <c r="M739" s="438"/>
      <c r="N739" s="438"/>
      <c r="O739" s="454"/>
      <c r="P739" s="454"/>
      <c r="Q739" s="454"/>
      <c r="R739" s="454"/>
      <c r="S739" s="454"/>
      <c r="T739" s="456"/>
      <c r="U739" s="454"/>
    </row>
    <row r="740" spans="1:21" s="232" customFormat="1" ht="12.75" x14ac:dyDescent="0.2">
      <c r="A740" s="425"/>
      <c r="B740" s="230" t="s">
        <v>9</v>
      </c>
      <c r="C740" s="231"/>
      <c r="D740" s="458"/>
      <c r="E740" s="458"/>
      <c r="F740" s="458"/>
      <c r="G740" s="458"/>
      <c r="H740" s="458"/>
      <c r="I740" s="458"/>
      <c r="J740" s="458"/>
      <c r="K740" s="425"/>
      <c r="L740" s="425"/>
      <c r="M740" s="230" t="s">
        <v>9</v>
      </c>
      <c r="N740" s="231"/>
      <c r="O740" s="457"/>
      <c r="P740" s="457"/>
      <c r="Q740" s="457"/>
      <c r="R740" s="457"/>
      <c r="S740" s="457"/>
      <c r="T740" s="459"/>
      <c r="U740" s="457"/>
    </row>
    <row r="741" spans="1:21" s="232" customFormat="1" ht="18.75" x14ac:dyDescent="0.2">
      <c r="A741" s="498" t="str">
        <f>Tableau!AM67</f>
        <v/>
      </c>
      <c r="B741" s="469"/>
      <c r="C741" s="231"/>
      <c r="D741" s="448"/>
      <c r="E741" s="448"/>
      <c r="F741" s="448"/>
      <c r="G741" s="448"/>
      <c r="H741" s="448"/>
      <c r="I741" s="448"/>
      <c r="J741" s="448"/>
      <c r="K741" s="425"/>
      <c r="L741" s="498" t="str">
        <f>Tableau!AM71</f>
        <v/>
      </c>
      <c r="M741" s="231"/>
      <c r="N741" s="231"/>
      <c r="O741" s="448"/>
      <c r="P741" s="448"/>
      <c r="Q741" s="448"/>
      <c r="R741" s="448"/>
      <c r="S741" s="448"/>
      <c r="T741" s="449"/>
      <c r="U741" s="448"/>
    </row>
    <row r="742" spans="1:21" s="232" customFormat="1" ht="20.100000000000001" customHeight="1" x14ac:dyDescent="0.2">
      <c r="A742" s="990" t="str">
        <f>IF(A741="","",VLOOKUP(A741,liste!$A$9:$G$145,2,FALSE))</f>
        <v/>
      </c>
      <c r="B742" s="991" t="s">
        <v>288</v>
      </c>
      <c r="C742" s="991" t="s">
        <v>288</v>
      </c>
      <c r="D742" s="447"/>
      <c r="E742" s="447"/>
      <c r="F742" s="447"/>
      <c r="G742" s="447"/>
      <c r="H742" s="447"/>
      <c r="I742" s="447"/>
      <c r="J742" s="447"/>
      <c r="K742" s="425"/>
      <c r="L742" s="990" t="str">
        <f>IF(L741="","",VLOOKUP(L741,liste!$A$9:$G$145,2,FALSE))</f>
        <v/>
      </c>
      <c r="M742" s="991" t="s">
        <v>288</v>
      </c>
      <c r="N742" s="991" t="s">
        <v>288</v>
      </c>
      <c r="O742" s="447"/>
      <c r="P742" s="447"/>
      <c r="Q742" s="447"/>
      <c r="R742" s="447"/>
      <c r="S742" s="447"/>
      <c r="T742" s="428"/>
      <c r="U742" s="447"/>
    </row>
    <row r="743" spans="1:21" s="232" customFormat="1" ht="20.100000000000001" customHeight="1" x14ac:dyDescent="0.2">
      <c r="A743" s="440"/>
      <c r="B743" s="438"/>
      <c r="C743" s="450" t="str">
        <f>IF(A741="","",VLOOKUP(A741,liste!$A$9:$G$145,4,FALSE))</f>
        <v/>
      </c>
      <c r="D743" s="451"/>
      <c r="E743" s="451"/>
      <c r="F743" s="451"/>
      <c r="G743" s="451"/>
      <c r="H743" s="451"/>
      <c r="I743" s="451"/>
      <c r="J743" s="451"/>
      <c r="K743" s="425"/>
      <c r="L743" s="440"/>
      <c r="M743" s="438"/>
      <c r="N743" s="450" t="str">
        <f>IF(L741="","",VLOOKUP(L741,liste!$A$9:$G$145,4,FALSE))</f>
        <v/>
      </c>
      <c r="O743" s="451"/>
      <c r="P743" s="451"/>
      <c r="Q743" s="451"/>
      <c r="R743" s="451"/>
      <c r="S743" s="451"/>
      <c r="T743" s="452"/>
      <c r="U743" s="451"/>
    </row>
    <row r="744" spans="1:21" s="232" customFormat="1" ht="15.75" x14ac:dyDescent="0.2">
      <c r="A744" s="473" t="str">
        <f>IF(A741="","",VLOOKUP(A741,liste!$A$9:$G$145,3,FALSE))</f>
        <v/>
      </c>
      <c r="B744" s="438"/>
      <c r="C744" s="438"/>
      <c r="D744" s="455"/>
      <c r="E744" s="455"/>
      <c r="F744" s="455"/>
      <c r="G744" s="455"/>
      <c r="H744" s="455"/>
      <c r="I744" s="455"/>
      <c r="J744" s="455"/>
      <c r="K744" s="425"/>
      <c r="L744" s="468" t="str">
        <f>IF(L741="","",VLOOKUP(L741,liste!$A$9:$G$145,3,FALSE))</f>
        <v/>
      </c>
      <c r="M744" s="438"/>
      <c r="N744" s="438"/>
      <c r="O744" s="454"/>
      <c r="P744" s="454"/>
      <c r="Q744" s="454"/>
      <c r="R744" s="454"/>
      <c r="S744" s="454"/>
      <c r="T744" s="456"/>
      <c r="U744" s="454"/>
    </row>
    <row r="745" spans="1:21" s="232" customFormat="1" ht="12.75" x14ac:dyDescent="0.2">
      <c r="A745" s="425"/>
      <c r="B745" s="231"/>
      <c r="C745" s="231"/>
      <c r="D745" s="458"/>
      <c r="E745" s="458"/>
      <c r="F745" s="458"/>
      <c r="G745" s="458"/>
      <c r="H745" s="458"/>
      <c r="I745" s="458"/>
      <c r="J745" s="458"/>
      <c r="K745" s="425"/>
      <c r="L745" s="425"/>
      <c r="M745" s="231"/>
      <c r="N745" s="231"/>
      <c r="O745" s="457"/>
      <c r="P745" s="457"/>
      <c r="Q745" s="457"/>
      <c r="R745" s="457"/>
      <c r="S745" s="457"/>
      <c r="T745" s="459"/>
      <c r="U745" s="457"/>
    </row>
    <row r="746" spans="1:21" s="232" customFormat="1" ht="12.75" x14ac:dyDescent="0.2">
      <c r="A746" s="425"/>
      <c r="B746" s="231"/>
      <c r="C746" s="231"/>
      <c r="D746" s="231"/>
      <c r="E746" s="231"/>
      <c r="F746" s="231"/>
      <c r="G746" s="231"/>
      <c r="H746" s="231"/>
      <c r="I746" s="231"/>
      <c r="J746" s="428"/>
      <c r="K746" s="425"/>
      <c r="L746" s="425"/>
      <c r="M746" s="231"/>
      <c r="N746" s="231"/>
      <c r="O746" s="231"/>
      <c r="P746" s="231"/>
      <c r="Q746" s="231"/>
      <c r="R746" s="231"/>
      <c r="S746" s="231"/>
      <c r="T746" s="231"/>
      <c r="U746" s="428"/>
    </row>
    <row r="747" spans="1:21" s="232" customFormat="1" ht="20.100000000000001" customHeight="1" x14ac:dyDescent="0.2">
      <c r="A747" s="988" t="s">
        <v>90</v>
      </c>
      <c r="B747" s="989"/>
      <c r="C747" s="989"/>
      <c r="D747" s="461" t="s">
        <v>77</v>
      </c>
      <c r="E747" s="461" t="s">
        <v>87</v>
      </c>
      <c r="F747" s="461" t="s">
        <v>88</v>
      </c>
      <c r="G747" s="231"/>
      <c r="H747" s="231"/>
      <c r="I747" s="231"/>
      <c r="J747" s="428"/>
      <c r="K747" s="425"/>
      <c r="L747" s="988" t="s">
        <v>90</v>
      </c>
      <c r="M747" s="989"/>
      <c r="N747" s="989"/>
      <c r="O747" s="461" t="s">
        <v>77</v>
      </c>
      <c r="P747" s="461" t="s">
        <v>87</v>
      </c>
      <c r="Q747" s="461" t="s">
        <v>88</v>
      </c>
      <c r="R747" s="231"/>
      <c r="S747" s="231"/>
      <c r="T747" s="231"/>
      <c r="U747" s="428"/>
    </row>
    <row r="748" spans="1:21" s="232" customFormat="1" ht="20.100000000000001" customHeight="1" x14ac:dyDescent="0.2">
      <c r="A748" s="462" t="str">
        <f>A737</f>
        <v/>
      </c>
      <c r="B748" s="426"/>
      <c r="C748" s="449"/>
      <c r="D748" s="448"/>
      <c r="E748" s="448"/>
      <c r="F748" s="448"/>
      <c r="G748" s="231"/>
      <c r="H748" s="231"/>
      <c r="I748" s="231"/>
      <c r="J748" s="428"/>
      <c r="K748" s="425"/>
      <c r="L748" s="462" t="str">
        <f>L737</f>
        <v/>
      </c>
      <c r="M748" s="426"/>
      <c r="N748" s="449"/>
      <c r="O748" s="448"/>
      <c r="P748" s="448"/>
      <c r="Q748" s="448"/>
      <c r="R748" s="231"/>
      <c r="S748" s="231"/>
      <c r="T748" s="231"/>
      <c r="U748" s="428"/>
    </row>
    <row r="749" spans="1:21" s="232" customFormat="1" ht="20.100000000000001" customHeight="1" x14ac:dyDescent="0.2">
      <c r="A749" s="463"/>
      <c r="B749" s="233"/>
      <c r="C749" s="452"/>
      <c r="D749" s="451"/>
      <c r="E749" s="451"/>
      <c r="F749" s="451"/>
      <c r="G749" s="231"/>
      <c r="H749" s="231"/>
      <c r="I749" s="231"/>
      <c r="J749" s="428"/>
      <c r="K749" s="425"/>
      <c r="L749" s="463"/>
      <c r="M749" s="233"/>
      <c r="N749" s="452"/>
      <c r="O749" s="451"/>
      <c r="P749" s="451"/>
      <c r="Q749" s="451"/>
      <c r="R749" s="231"/>
      <c r="S749" s="231"/>
      <c r="T749" s="231"/>
      <c r="U749" s="428"/>
    </row>
    <row r="750" spans="1:21" s="232" customFormat="1" ht="20.100000000000001" customHeight="1" x14ac:dyDescent="0.2">
      <c r="A750" s="462" t="str">
        <f>A742</f>
        <v/>
      </c>
      <c r="B750" s="426"/>
      <c r="C750" s="449"/>
      <c r="D750" s="448"/>
      <c r="E750" s="448"/>
      <c r="F750" s="448"/>
      <c r="G750" s="231"/>
      <c r="H750" s="231"/>
      <c r="I750" s="231"/>
      <c r="J750" s="428"/>
      <c r="K750" s="425"/>
      <c r="L750" s="462" t="str">
        <f>L742</f>
        <v/>
      </c>
      <c r="M750" s="426"/>
      <c r="N750" s="449"/>
      <c r="O750" s="448"/>
      <c r="P750" s="448"/>
      <c r="Q750" s="448"/>
      <c r="R750" s="231"/>
      <c r="S750" s="231"/>
      <c r="T750" s="231"/>
      <c r="U750" s="428"/>
    </row>
    <row r="751" spans="1:21" s="232" customFormat="1" ht="20.100000000000001" customHeight="1" x14ac:dyDescent="0.2">
      <c r="A751" s="463"/>
      <c r="B751" s="233"/>
      <c r="C751" s="452"/>
      <c r="D751" s="451"/>
      <c r="E751" s="451"/>
      <c r="F751" s="451"/>
      <c r="G751" s="231"/>
      <c r="H751" s="231"/>
      <c r="I751" s="231"/>
      <c r="J751" s="428"/>
      <c r="K751" s="425"/>
      <c r="L751" s="463"/>
      <c r="M751" s="233"/>
      <c r="N751" s="452"/>
      <c r="O751" s="451"/>
      <c r="P751" s="451"/>
      <c r="Q751" s="451"/>
      <c r="R751" s="231"/>
      <c r="S751" s="231"/>
      <c r="T751" s="231"/>
      <c r="U751" s="428"/>
    </row>
    <row r="752" spans="1:21" s="232" customFormat="1" ht="12.75" x14ac:dyDescent="0.2">
      <c r="A752" s="464" t="s">
        <v>91</v>
      </c>
      <c r="B752" s="231"/>
      <c r="C752" s="231"/>
      <c r="D752" s="231"/>
      <c r="E752" s="231"/>
      <c r="F752" s="231"/>
      <c r="G752" s="231"/>
      <c r="H752" s="231"/>
      <c r="I752" s="231"/>
      <c r="J752" s="428"/>
      <c r="K752" s="425"/>
      <c r="L752" s="464" t="s">
        <v>91</v>
      </c>
      <c r="M752" s="231"/>
      <c r="N752" s="231"/>
      <c r="O752" s="231"/>
      <c r="P752" s="231"/>
      <c r="Q752" s="231"/>
      <c r="R752" s="231"/>
      <c r="S752" s="231"/>
      <c r="T752" s="231"/>
      <c r="U752" s="428"/>
    </row>
    <row r="753" spans="1:21" s="232" customFormat="1" ht="12.75" x14ac:dyDescent="0.2">
      <c r="A753" s="425"/>
      <c r="B753" s="231"/>
      <c r="C753" s="231"/>
      <c r="D753" s="231"/>
      <c r="E753" s="231"/>
      <c r="F753" s="231"/>
      <c r="G753" s="231"/>
      <c r="H753" s="231"/>
      <c r="I753" s="231"/>
      <c r="J753" s="428"/>
      <c r="K753" s="425"/>
      <c r="L753" s="463"/>
      <c r="M753" s="233"/>
      <c r="N753" s="233"/>
      <c r="O753" s="233"/>
      <c r="P753" s="233"/>
      <c r="Q753" s="233"/>
      <c r="R753" s="233"/>
      <c r="S753" s="233"/>
      <c r="T753" s="233"/>
      <c r="U753" s="452"/>
    </row>
    <row r="754" spans="1:21" s="232" customFormat="1" ht="12.75" x14ac:dyDescent="0.2">
      <c r="A754" s="465" t="s">
        <v>89</v>
      </c>
      <c r="B754" s="233"/>
      <c r="C754" s="233"/>
      <c r="D754" s="233"/>
      <c r="E754" s="233"/>
      <c r="F754" s="233"/>
      <c r="G754" s="233"/>
      <c r="H754" s="233"/>
      <c r="I754" s="233"/>
      <c r="J754" s="452"/>
      <c r="K754" s="425"/>
      <c r="L754" s="465" t="s">
        <v>89</v>
      </c>
      <c r="M754" s="233"/>
      <c r="N754" s="233"/>
      <c r="O754" s="233"/>
      <c r="P754" s="233"/>
      <c r="Q754" s="233"/>
      <c r="R754" s="233"/>
      <c r="S754" s="233"/>
      <c r="T754" s="233"/>
      <c r="U754" s="233"/>
    </row>
    <row r="755" spans="1:21" s="232" customFormat="1" ht="15.75" customHeight="1" x14ac:dyDescent="0.2">
      <c r="A755" s="1005" t="str">
        <f>$A$1</f>
        <v>Circuit décathlon</v>
      </c>
      <c r="B755" s="1006"/>
      <c r="C755" s="1006"/>
      <c r="D755" s="1006"/>
      <c r="E755" s="1006"/>
      <c r="F755" s="1006"/>
      <c r="G755" s="1006"/>
      <c r="H755" s="1006"/>
      <c r="I755" s="1006"/>
      <c r="J755" s="1007"/>
      <c r="K755" s="425"/>
      <c r="L755" s="1005" t="str">
        <f>$A$1</f>
        <v>Circuit décathlon</v>
      </c>
      <c r="M755" s="1006"/>
      <c r="N755" s="1006"/>
      <c r="O755" s="1006"/>
      <c r="P755" s="1006"/>
      <c r="Q755" s="1006"/>
      <c r="R755" s="1006"/>
      <c r="S755" s="1006"/>
      <c r="T755" s="426"/>
      <c r="U755" s="449"/>
    </row>
    <row r="756" spans="1:21" s="232" customFormat="1" ht="15.75" x14ac:dyDescent="0.2">
      <c r="A756" s="425"/>
      <c r="B756" s="231"/>
      <c r="C756" s="231"/>
      <c r="D756" s="427" t="s">
        <v>83</v>
      </c>
      <c r="E756" s="474">
        <f>Rens!J47</f>
        <v>0</v>
      </c>
      <c r="F756" s="231"/>
      <c r="G756" s="231"/>
      <c r="H756" s="231"/>
      <c r="I756" s="231"/>
      <c r="J756" s="428"/>
      <c r="K756" s="425"/>
      <c r="L756" s="425"/>
      <c r="M756" s="231"/>
      <c r="N756" s="231"/>
      <c r="O756" s="427" t="s">
        <v>83</v>
      </c>
      <c r="P756" s="474">
        <f>Rens!J48</f>
        <v>0</v>
      </c>
      <c r="Q756" s="231"/>
      <c r="R756" s="231"/>
      <c r="S756" s="231"/>
      <c r="T756" s="231"/>
      <c r="U756" s="428"/>
    </row>
    <row r="757" spans="1:21" s="232" customFormat="1" ht="18.75" x14ac:dyDescent="0.2">
      <c r="A757" s="429" t="s">
        <v>84</v>
      </c>
      <c r="B757" s="430" t="str">
        <f>$B$3</f>
        <v>Minimes</v>
      </c>
      <c r="C757" s="231"/>
      <c r="D757" s="231"/>
      <c r="E757" s="231"/>
      <c r="F757" s="231"/>
      <c r="G757" s="231"/>
      <c r="H757" s="231"/>
      <c r="I757" s="231"/>
      <c r="J757" s="428"/>
      <c r="K757" s="425"/>
      <c r="L757" s="429" t="s">
        <v>84</v>
      </c>
      <c r="M757" s="430" t="str">
        <f>$B$3</f>
        <v>Minimes</v>
      </c>
      <c r="N757" s="231"/>
      <c r="O757" s="231"/>
      <c r="P757" s="231"/>
      <c r="Q757" s="231"/>
      <c r="R757" s="231"/>
      <c r="S757" s="231"/>
      <c r="T757" s="231"/>
      <c r="U757" s="428"/>
    </row>
    <row r="758" spans="1:21" s="232" customFormat="1" ht="18.75" x14ac:dyDescent="0.2">
      <c r="A758" s="997" t="s">
        <v>233</v>
      </c>
      <c r="B758" s="998"/>
      <c r="C758" s="998"/>
      <c r="D758" s="998"/>
      <c r="E758" s="231"/>
      <c r="F758" s="231"/>
      <c r="G758" s="499" t="str">
        <f>Rens!I47</f>
        <v>Q'</v>
      </c>
      <c r="H758" s="231"/>
      <c r="I758" s="231"/>
      <c r="J758" s="428"/>
      <c r="K758" s="425"/>
      <c r="L758" s="997" t="str">
        <f>A758</f>
        <v>Places 9 à 12</v>
      </c>
      <c r="M758" s="998"/>
      <c r="N758" s="998"/>
      <c r="O758" s="998"/>
      <c r="P758" s="231"/>
      <c r="Q758" s="231"/>
      <c r="R758" s="499" t="str">
        <f>Rens!I48</f>
        <v>K'</v>
      </c>
      <c r="S758" s="231"/>
      <c r="T758" s="499"/>
      <c r="U758" s="428"/>
    </row>
    <row r="759" spans="1:21" s="343" customFormat="1" ht="23.25" x14ac:dyDescent="0.2">
      <c r="A759" s="432"/>
      <c r="B759" s="434" t="str">
        <f>Tableau!P28</f>
        <v/>
      </c>
      <c r="C759" s="345"/>
      <c r="D759" s="345"/>
      <c r="E759" s="344" t="s">
        <v>178</v>
      </c>
      <c r="F759" s="234">
        <f>Rens!K47</f>
        <v>0</v>
      </c>
      <c r="G759" s="345"/>
      <c r="H759" s="345"/>
      <c r="I759" s="345"/>
      <c r="J759" s="431"/>
      <c r="K759" s="432"/>
      <c r="L759" s="432"/>
      <c r="M759" s="434" t="str">
        <f>Tableau!P20</f>
        <v/>
      </c>
      <c r="N759" s="345"/>
      <c r="O759" s="345"/>
      <c r="P759" s="344" t="s">
        <v>178</v>
      </c>
      <c r="Q759" s="234">
        <f>Rens!K48</f>
        <v>0</v>
      </c>
      <c r="R759" s="345"/>
      <c r="S759" s="345"/>
      <c r="T759" s="345"/>
      <c r="U759" s="431"/>
    </row>
    <row r="760" spans="1:21" s="232" customFormat="1" ht="15.75" x14ac:dyDescent="0.2">
      <c r="A760" s="470" t="s">
        <v>85</v>
      </c>
      <c r="B760" s="436" t="str">
        <f>IF(B759="","",VLOOKUP(B759,liste!$A$9:$G$145,2,FALSE))</f>
        <v/>
      </c>
      <c r="C760" s="471"/>
      <c r="D760" s="471"/>
      <c r="E760" s="471"/>
      <c r="F760" s="471"/>
      <c r="G760" s="471"/>
      <c r="H760" s="471"/>
      <c r="I760" s="231"/>
      <c r="J760" s="428"/>
      <c r="K760" s="425"/>
      <c r="L760" s="470" t="s">
        <v>85</v>
      </c>
      <c r="M760" s="436" t="str">
        <f>IF(M759="","",VLOOKUP(M759,liste!$A$9:$G$145,2,FALSE))</f>
        <v/>
      </c>
      <c r="N760" s="471"/>
      <c r="O760" s="471"/>
      <c r="P760" s="471"/>
      <c r="Q760" s="471"/>
      <c r="R760" s="471"/>
      <c r="S760" s="471"/>
      <c r="T760" s="471"/>
      <c r="U760" s="472"/>
    </row>
    <row r="761" spans="1:21" s="232" customFormat="1" ht="20.100000000000001" customHeight="1" x14ac:dyDescent="0.2">
      <c r="A761" s="425"/>
      <c r="B761" s="231"/>
      <c r="C761" s="231"/>
      <c r="D761" s="999" t="s">
        <v>19</v>
      </c>
      <c r="E761" s="1000"/>
      <c r="F761" s="1000"/>
      <c r="G761" s="1000"/>
      <c r="H761" s="1000"/>
      <c r="I761" s="1000"/>
      <c r="J761" s="1001"/>
      <c r="K761" s="425"/>
      <c r="L761" s="443"/>
      <c r="M761" s="444"/>
      <c r="N761" s="444"/>
      <c r="O761" s="1002" t="s">
        <v>19</v>
      </c>
      <c r="P761" s="1003"/>
      <c r="Q761" s="1003"/>
      <c r="R761" s="1003"/>
      <c r="S761" s="1003"/>
      <c r="T761" s="1003"/>
      <c r="U761" s="1004"/>
    </row>
    <row r="762" spans="1:21" s="232" customFormat="1" ht="20.100000000000001" customHeight="1" x14ac:dyDescent="0.2">
      <c r="A762" s="992" t="s">
        <v>86</v>
      </c>
      <c r="B762" s="993"/>
      <c r="C762" s="993"/>
      <c r="D762" s="467">
        <v>1</v>
      </c>
      <c r="E762" s="467">
        <v>2</v>
      </c>
      <c r="F762" s="467">
        <v>3</v>
      </c>
      <c r="G762" s="467">
        <v>4</v>
      </c>
      <c r="H762" s="467">
        <v>5</v>
      </c>
      <c r="I762" s="467">
        <v>6</v>
      </c>
      <c r="J762" s="467">
        <v>7</v>
      </c>
      <c r="K762" s="425"/>
      <c r="L762" s="992" t="s">
        <v>86</v>
      </c>
      <c r="M762" s="993"/>
      <c r="N762" s="993"/>
      <c r="O762" s="445">
        <v>1</v>
      </c>
      <c r="P762" s="445">
        <v>2</v>
      </c>
      <c r="Q762" s="445">
        <v>3</v>
      </c>
      <c r="R762" s="445">
        <v>4</v>
      </c>
      <c r="S762" s="446">
        <v>5</v>
      </c>
      <c r="T762" s="497">
        <v>6</v>
      </c>
      <c r="U762" s="446">
        <v>7</v>
      </c>
    </row>
    <row r="763" spans="1:21" s="232" customFormat="1" ht="20.100000000000001" customHeight="1" x14ac:dyDescent="0.2">
      <c r="A763" s="500"/>
      <c r="B763" s="501"/>
      <c r="C763" s="501"/>
      <c r="D763" s="994" t="s">
        <v>92</v>
      </c>
      <c r="E763" s="995"/>
      <c r="F763" s="995"/>
      <c r="G763" s="995"/>
      <c r="H763" s="995"/>
      <c r="I763" s="995"/>
      <c r="J763" s="996"/>
      <c r="K763" s="425"/>
      <c r="L763" s="500"/>
      <c r="M763" s="501"/>
      <c r="N763" s="501"/>
      <c r="O763" s="994" t="s">
        <v>92</v>
      </c>
      <c r="P763" s="995"/>
      <c r="Q763" s="995"/>
      <c r="R763" s="995"/>
      <c r="S763" s="995"/>
      <c r="T763" s="995"/>
      <c r="U763" s="996"/>
    </row>
    <row r="764" spans="1:21" s="232" customFormat="1" ht="18.75" x14ac:dyDescent="0.2">
      <c r="A764" s="498">
        <f>Tableau!AR77</f>
        <v>0</v>
      </c>
      <c r="B764" s="231"/>
      <c r="C764" s="231"/>
      <c r="D764" s="447"/>
      <c r="E764" s="447"/>
      <c r="F764" s="447"/>
      <c r="G764" s="447"/>
      <c r="H764" s="447"/>
      <c r="I764" s="447"/>
      <c r="J764" s="447"/>
      <c r="K764" s="425"/>
      <c r="L764" s="498">
        <f>Tableau!AR85</f>
        <v>0</v>
      </c>
      <c r="M764" s="231"/>
      <c r="N764" s="231"/>
      <c r="O764" s="448"/>
      <c r="P764" s="448"/>
      <c r="Q764" s="448"/>
      <c r="R764" s="448"/>
      <c r="S764" s="448"/>
      <c r="T764" s="449"/>
      <c r="U764" s="448"/>
    </row>
    <row r="765" spans="1:21" s="232" customFormat="1" ht="20.100000000000001" customHeight="1" x14ac:dyDescent="0.2">
      <c r="A765" s="990" t="e">
        <f>IF(A764="","",VLOOKUP(A764,liste!$A$9:$G$145,2,FALSE))</f>
        <v>#N/A</v>
      </c>
      <c r="B765" s="991" t="e">
        <v>#N/A</v>
      </c>
      <c r="C765" s="991" t="e">
        <v>#N/A</v>
      </c>
      <c r="D765" s="447"/>
      <c r="E765" s="447"/>
      <c r="F765" s="447"/>
      <c r="G765" s="447"/>
      <c r="H765" s="447"/>
      <c r="I765" s="447"/>
      <c r="J765" s="447"/>
      <c r="K765" s="425"/>
      <c r="L765" s="990" t="e">
        <f>IF(L764="","",VLOOKUP(L764,liste!$A$9:$G$145,2,FALSE))</f>
        <v>#N/A</v>
      </c>
      <c r="M765" s="991" t="e">
        <v>#N/A</v>
      </c>
      <c r="N765" s="991" t="e">
        <v>#N/A</v>
      </c>
      <c r="O765" s="447"/>
      <c r="P765" s="447"/>
      <c r="Q765" s="447"/>
      <c r="R765" s="447"/>
      <c r="S765" s="447"/>
      <c r="T765" s="428"/>
      <c r="U765" s="447"/>
    </row>
    <row r="766" spans="1:21" s="232" customFormat="1" ht="20.100000000000001" customHeight="1" x14ac:dyDescent="0.2">
      <c r="A766" s="440"/>
      <c r="B766" s="438"/>
      <c r="C766" s="450" t="e">
        <f>IF(A764="","",VLOOKUP(A764,liste!$A$9:$G$145,4,FALSE))</f>
        <v>#N/A</v>
      </c>
      <c r="D766" s="451"/>
      <c r="E766" s="451"/>
      <c r="F766" s="451"/>
      <c r="G766" s="451"/>
      <c r="H766" s="451"/>
      <c r="I766" s="451"/>
      <c r="J766" s="451"/>
      <c r="K766" s="425"/>
      <c r="L766" s="440"/>
      <c r="M766" s="438"/>
      <c r="N766" s="450" t="e">
        <f>IF(L764="","",VLOOKUP(L764,liste!$A$9:$G$145,4,FALSE))</f>
        <v>#N/A</v>
      </c>
      <c r="O766" s="451"/>
      <c r="P766" s="451"/>
      <c r="Q766" s="451"/>
      <c r="R766" s="451"/>
      <c r="S766" s="451"/>
      <c r="T766" s="452"/>
      <c r="U766" s="451"/>
    </row>
    <row r="767" spans="1:21" s="232" customFormat="1" ht="15.75" x14ac:dyDescent="0.2">
      <c r="A767" s="453" t="e">
        <f>IF(A764="","",VLOOKUP(A764,liste!$A$9:$G$145,3,FALSE))</f>
        <v>#N/A</v>
      </c>
      <c r="B767" s="438"/>
      <c r="C767" s="438"/>
      <c r="D767" s="455"/>
      <c r="E767" s="455"/>
      <c r="F767" s="455"/>
      <c r="G767" s="455"/>
      <c r="H767" s="455"/>
      <c r="I767" s="455"/>
      <c r="J767" s="455"/>
      <c r="K767" s="425"/>
      <c r="L767" s="453" t="e">
        <f>IF(L764="","",VLOOKUP(L764,liste!$A$9:$G$145,3,FALSE))</f>
        <v>#N/A</v>
      </c>
      <c r="M767" s="438"/>
      <c r="N767" s="438"/>
      <c r="O767" s="454"/>
      <c r="P767" s="454"/>
      <c r="Q767" s="454"/>
      <c r="R767" s="454"/>
      <c r="S767" s="454"/>
      <c r="T767" s="456"/>
      <c r="U767" s="454"/>
    </row>
    <row r="768" spans="1:21" s="232" customFormat="1" ht="12.75" x14ac:dyDescent="0.2">
      <c r="A768" s="425"/>
      <c r="B768" s="230" t="s">
        <v>9</v>
      </c>
      <c r="C768" s="231"/>
      <c r="D768" s="458"/>
      <c r="E768" s="458"/>
      <c r="F768" s="458"/>
      <c r="G768" s="458"/>
      <c r="H768" s="458"/>
      <c r="I768" s="458"/>
      <c r="J768" s="458"/>
      <c r="K768" s="425"/>
      <c r="L768" s="425"/>
      <c r="M768" s="230" t="s">
        <v>9</v>
      </c>
      <c r="N768" s="231"/>
      <c r="O768" s="457"/>
      <c r="P768" s="457"/>
      <c r="Q768" s="457"/>
      <c r="R768" s="457"/>
      <c r="S768" s="457"/>
      <c r="T768" s="459"/>
      <c r="U768" s="457"/>
    </row>
    <row r="769" spans="1:21" s="232" customFormat="1" ht="18.75" x14ac:dyDescent="0.2">
      <c r="A769" s="498">
        <f>Tableau!AR81</f>
        <v>0</v>
      </c>
      <c r="B769" s="231"/>
      <c r="C769" s="231"/>
      <c r="D769" s="448"/>
      <c r="E769" s="448"/>
      <c r="F769" s="448"/>
      <c r="G769" s="448"/>
      <c r="H769" s="448"/>
      <c r="I769" s="448"/>
      <c r="J769" s="448"/>
      <c r="K769" s="425"/>
      <c r="L769" s="498">
        <f>Tableau!AR89</f>
        <v>0</v>
      </c>
      <c r="M769" s="231"/>
      <c r="N769" s="231"/>
      <c r="O769" s="448"/>
      <c r="P769" s="448"/>
      <c r="Q769" s="448"/>
      <c r="R769" s="448"/>
      <c r="S769" s="448"/>
      <c r="T769" s="449"/>
      <c r="U769" s="448"/>
    </row>
    <row r="770" spans="1:21" s="232" customFormat="1" ht="20.100000000000001" customHeight="1" x14ac:dyDescent="0.2">
      <c r="A770" s="990" t="e">
        <f>IF(A769="","",VLOOKUP(A769,liste!$A$9:$G$145,2,FALSE))</f>
        <v>#N/A</v>
      </c>
      <c r="B770" s="991" t="e">
        <v>#N/A</v>
      </c>
      <c r="C770" s="991" t="e">
        <v>#N/A</v>
      </c>
      <c r="D770" s="447"/>
      <c r="E770" s="447"/>
      <c r="F770" s="447"/>
      <c r="G770" s="447"/>
      <c r="H770" s="447"/>
      <c r="I770" s="447"/>
      <c r="J770" s="447"/>
      <c r="K770" s="425"/>
      <c r="L770" s="990" t="e">
        <f>IF(L769="","",VLOOKUP(L769,liste!$A$9:$G$145,2,FALSE))</f>
        <v>#N/A</v>
      </c>
      <c r="M770" s="991" t="e">
        <v>#N/A</v>
      </c>
      <c r="N770" s="991" t="e">
        <v>#N/A</v>
      </c>
      <c r="O770" s="447"/>
      <c r="P770" s="447"/>
      <c r="Q770" s="447"/>
      <c r="R770" s="447"/>
      <c r="S770" s="447"/>
      <c r="T770" s="428"/>
      <c r="U770" s="447"/>
    </row>
    <row r="771" spans="1:21" s="232" customFormat="1" ht="20.100000000000001" customHeight="1" x14ac:dyDescent="0.2">
      <c r="A771" s="440"/>
      <c r="B771" s="438"/>
      <c r="C771" s="450" t="e">
        <f>IF(A769="","",VLOOKUP(A769,liste!$A$9:$G$145,4,FALSE))</f>
        <v>#N/A</v>
      </c>
      <c r="D771" s="451"/>
      <c r="E771" s="451"/>
      <c r="F771" s="451"/>
      <c r="G771" s="451"/>
      <c r="H771" s="451"/>
      <c r="I771" s="451"/>
      <c r="J771" s="451"/>
      <c r="K771" s="425"/>
      <c r="L771" s="440"/>
      <c r="M771" s="438"/>
      <c r="N771" s="450" t="e">
        <f>IF(L769="","",VLOOKUP(L769,liste!$A$9:$G$145,4,FALSE))</f>
        <v>#N/A</v>
      </c>
      <c r="O771" s="451"/>
      <c r="P771" s="451"/>
      <c r="Q771" s="451"/>
      <c r="R771" s="451"/>
      <c r="S771" s="451"/>
      <c r="T771" s="452"/>
      <c r="U771" s="451"/>
    </row>
    <row r="772" spans="1:21" s="232" customFormat="1" ht="15.75" x14ac:dyDescent="0.2">
      <c r="A772" s="453" t="e">
        <f>IF(A769="","",VLOOKUP(A769,liste!$A$9:$G$145,3,FALSE))</f>
        <v>#N/A</v>
      </c>
      <c r="B772" s="438"/>
      <c r="C772" s="438"/>
      <c r="D772" s="455"/>
      <c r="E772" s="455"/>
      <c r="F772" s="455"/>
      <c r="G772" s="455"/>
      <c r="H772" s="455"/>
      <c r="I772" s="455"/>
      <c r="J772" s="455"/>
      <c r="K772" s="425"/>
      <c r="L772" s="453" t="e">
        <f>IF(L769="","",VLOOKUP(L769,liste!$A$9:$G$145,3,FALSE))</f>
        <v>#N/A</v>
      </c>
      <c r="M772" s="438"/>
      <c r="N772" s="438"/>
      <c r="O772" s="454"/>
      <c r="P772" s="454"/>
      <c r="Q772" s="454"/>
      <c r="R772" s="454"/>
      <c r="S772" s="454"/>
      <c r="T772" s="456"/>
      <c r="U772" s="454"/>
    </row>
    <row r="773" spans="1:21" s="232" customFormat="1" ht="12.75" x14ac:dyDescent="0.2">
      <c r="A773" s="425"/>
      <c r="B773" s="231"/>
      <c r="C773" s="231"/>
      <c r="D773" s="458"/>
      <c r="E773" s="458"/>
      <c r="F773" s="458"/>
      <c r="G773" s="458"/>
      <c r="H773" s="458"/>
      <c r="I773" s="458"/>
      <c r="J773" s="458"/>
      <c r="K773" s="425"/>
      <c r="L773" s="425"/>
      <c r="M773" s="231"/>
      <c r="N773" s="231"/>
      <c r="O773" s="457"/>
      <c r="P773" s="457"/>
      <c r="Q773" s="457"/>
      <c r="R773" s="457"/>
      <c r="S773" s="457"/>
      <c r="T773" s="459"/>
      <c r="U773" s="457"/>
    </row>
    <row r="774" spans="1:21" s="232" customFormat="1" ht="12.75" x14ac:dyDescent="0.2">
      <c r="A774" s="425"/>
      <c r="B774" s="231"/>
      <c r="C774" s="231"/>
      <c r="D774" s="231"/>
      <c r="E774" s="231"/>
      <c r="F774" s="231"/>
      <c r="G774" s="231"/>
      <c r="H774" s="231"/>
      <c r="I774" s="231"/>
      <c r="J774" s="428"/>
      <c r="K774" s="425"/>
      <c r="L774" s="425"/>
      <c r="M774" s="231"/>
      <c r="N774" s="231"/>
      <c r="O774" s="231"/>
      <c r="P774" s="231"/>
      <c r="Q774" s="231"/>
      <c r="R774" s="231"/>
      <c r="S774" s="231"/>
      <c r="T774" s="231"/>
      <c r="U774" s="428"/>
    </row>
    <row r="775" spans="1:21" s="232" customFormat="1" ht="20.100000000000001" customHeight="1" x14ac:dyDescent="0.2">
      <c r="A775" s="988" t="s">
        <v>90</v>
      </c>
      <c r="B775" s="989"/>
      <c r="C775" s="989"/>
      <c r="D775" s="461" t="s">
        <v>77</v>
      </c>
      <c r="E775" s="461" t="s">
        <v>87</v>
      </c>
      <c r="F775" s="461" t="s">
        <v>88</v>
      </c>
      <c r="G775" s="231"/>
      <c r="H775" s="231"/>
      <c r="I775" s="231"/>
      <c r="J775" s="428"/>
      <c r="K775" s="425"/>
      <c r="L775" s="988" t="s">
        <v>90</v>
      </c>
      <c r="M775" s="989"/>
      <c r="N775" s="989"/>
      <c r="O775" s="461" t="s">
        <v>77</v>
      </c>
      <c r="P775" s="461" t="s">
        <v>87</v>
      </c>
      <c r="Q775" s="461" t="s">
        <v>88</v>
      </c>
      <c r="R775" s="231"/>
      <c r="S775" s="231"/>
      <c r="T775" s="231"/>
      <c r="U775" s="428"/>
    </row>
    <row r="776" spans="1:21" s="232" customFormat="1" ht="20.100000000000001" customHeight="1" x14ac:dyDescent="0.2">
      <c r="A776" s="462" t="e">
        <f>A765</f>
        <v>#N/A</v>
      </c>
      <c r="B776" s="426"/>
      <c r="C776" s="449"/>
      <c r="D776" s="448"/>
      <c r="E776" s="448"/>
      <c r="F776" s="448"/>
      <c r="G776" s="231"/>
      <c r="H776" s="231"/>
      <c r="I776" s="231"/>
      <c r="J776" s="428"/>
      <c r="K776" s="425"/>
      <c r="L776" s="462" t="e">
        <f>L765</f>
        <v>#N/A</v>
      </c>
      <c r="M776" s="426"/>
      <c r="N776" s="449"/>
      <c r="O776" s="448"/>
      <c r="P776" s="448"/>
      <c r="Q776" s="448"/>
      <c r="R776" s="231"/>
      <c r="S776" s="231"/>
      <c r="T776" s="231"/>
      <c r="U776" s="428"/>
    </row>
    <row r="777" spans="1:21" s="232" customFormat="1" ht="20.100000000000001" customHeight="1" x14ac:dyDescent="0.2">
      <c r="A777" s="463"/>
      <c r="B777" s="233"/>
      <c r="C777" s="452"/>
      <c r="D777" s="451"/>
      <c r="E777" s="451"/>
      <c r="F777" s="451"/>
      <c r="G777" s="231"/>
      <c r="H777" s="231"/>
      <c r="I777" s="231"/>
      <c r="J777" s="428"/>
      <c r="K777" s="425"/>
      <c r="L777" s="463"/>
      <c r="M777" s="233"/>
      <c r="N777" s="452"/>
      <c r="O777" s="451"/>
      <c r="P777" s="451"/>
      <c r="Q777" s="451"/>
      <c r="R777" s="231"/>
      <c r="S777" s="231"/>
      <c r="T777" s="231"/>
      <c r="U777" s="428"/>
    </row>
    <row r="778" spans="1:21" s="232" customFormat="1" ht="20.100000000000001" customHeight="1" x14ac:dyDescent="0.2">
      <c r="A778" s="462" t="e">
        <f>A770</f>
        <v>#N/A</v>
      </c>
      <c r="B778" s="426"/>
      <c r="C778" s="449"/>
      <c r="D778" s="448"/>
      <c r="E778" s="448"/>
      <c r="F778" s="448"/>
      <c r="G778" s="231"/>
      <c r="H778" s="231"/>
      <c r="I778" s="231"/>
      <c r="J778" s="428"/>
      <c r="K778" s="425"/>
      <c r="L778" s="462" t="e">
        <f>L770</f>
        <v>#N/A</v>
      </c>
      <c r="M778" s="426"/>
      <c r="N778" s="449"/>
      <c r="O778" s="448"/>
      <c r="P778" s="448"/>
      <c r="Q778" s="448"/>
      <c r="R778" s="231"/>
      <c r="S778" s="231"/>
      <c r="T778" s="231"/>
      <c r="U778" s="428"/>
    </row>
    <row r="779" spans="1:21" s="232" customFormat="1" ht="20.100000000000001" customHeight="1" x14ac:dyDescent="0.2">
      <c r="A779" s="463"/>
      <c r="B779" s="233"/>
      <c r="C779" s="452"/>
      <c r="D779" s="451"/>
      <c r="E779" s="451"/>
      <c r="F779" s="451"/>
      <c r="G779" s="231"/>
      <c r="H779" s="231"/>
      <c r="I779" s="231"/>
      <c r="J779" s="428"/>
      <c r="K779" s="425"/>
      <c r="L779" s="463"/>
      <c r="M779" s="233"/>
      <c r="N779" s="452"/>
      <c r="O779" s="451"/>
      <c r="P779" s="451"/>
      <c r="Q779" s="451"/>
      <c r="R779" s="231"/>
      <c r="S779" s="231"/>
      <c r="T779" s="231"/>
      <c r="U779" s="428"/>
    </row>
    <row r="780" spans="1:21" s="232" customFormat="1" ht="12.75" x14ac:dyDescent="0.2">
      <c r="A780" s="464" t="s">
        <v>91</v>
      </c>
      <c r="B780" s="231"/>
      <c r="C780" s="231"/>
      <c r="D780" s="231"/>
      <c r="E780" s="231"/>
      <c r="F780" s="231"/>
      <c r="G780" s="231"/>
      <c r="H780" s="231"/>
      <c r="I780" s="231"/>
      <c r="J780" s="428"/>
      <c r="K780" s="425"/>
      <c r="L780" s="464" t="s">
        <v>91</v>
      </c>
      <c r="M780" s="231"/>
      <c r="N780" s="231"/>
      <c r="O780" s="231"/>
      <c r="P780" s="231"/>
      <c r="Q780" s="231"/>
      <c r="R780" s="231"/>
      <c r="S780" s="231"/>
      <c r="T780" s="231"/>
      <c r="U780" s="428"/>
    </row>
    <row r="781" spans="1:21" s="232" customFormat="1" ht="12.75" x14ac:dyDescent="0.2">
      <c r="A781" s="425"/>
      <c r="B781" s="231"/>
      <c r="C781" s="231"/>
      <c r="D781" s="231"/>
      <c r="E781" s="231"/>
      <c r="F781" s="231"/>
      <c r="G781" s="231"/>
      <c r="H781" s="231"/>
      <c r="I781" s="231"/>
      <c r="J781" s="428"/>
      <c r="K781" s="425"/>
      <c r="L781" s="425"/>
      <c r="M781" s="231"/>
      <c r="N781" s="231"/>
      <c r="O781" s="231"/>
      <c r="P781" s="231"/>
      <c r="Q781" s="231"/>
      <c r="R781" s="231"/>
      <c r="S781" s="231"/>
      <c r="T781" s="231"/>
      <c r="U781" s="428"/>
    </row>
    <row r="782" spans="1:21" s="232" customFormat="1" ht="12.75" x14ac:dyDescent="0.2">
      <c r="A782" s="465" t="s">
        <v>89</v>
      </c>
      <c r="B782" s="233"/>
      <c r="C782" s="233"/>
      <c r="D782" s="233"/>
      <c r="E782" s="233"/>
      <c r="F782" s="233"/>
      <c r="G782" s="233"/>
      <c r="H782" s="233"/>
      <c r="I782" s="233"/>
      <c r="J782" s="452"/>
      <c r="K782" s="425"/>
      <c r="L782" s="465" t="s">
        <v>89</v>
      </c>
      <c r="M782" s="233"/>
      <c r="N782" s="233"/>
      <c r="O782" s="233"/>
      <c r="P782" s="233"/>
      <c r="Q782" s="233"/>
      <c r="R782" s="233"/>
      <c r="S782" s="233"/>
      <c r="T782" s="233"/>
      <c r="U782" s="452"/>
    </row>
    <row r="783" spans="1:21" s="232" customFormat="1" ht="30" customHeight="1" x14ac:dyDescent="0.2"/>
    <row r="784" spans="1:21" s="232" customFormat="1" ht="30" customHeight="1" x14ac:dyDescent="0.2"/>
    <row r="785" spans="1:21" s="232" customFormat="1" ht="20.100000000000001" customHeight="1" x14ac:dyDescent="0.2">
      <c r="A785" s="1005" t="str">
        <f>$A$1</f>
        <v>Circuit décathlon</v>
      </c>
      <c r="B785" s="1006"/>
      <c r="C785" s="1006"/>
      <c r="D785" s="1006"/>
      <c r="E785" s="1006"/>
      <c r="F785" s="1006"/>
      <c r="G785" s="1006"/>
      <c r="H785" s="1006"/>
      <c r="I785" s="1006"/>
      <c r="J785" s="1007"/>
      <c r="K785" s="425"/>
      <c r="L785" s="1005" t="str">
        <f>$A$1</f>
        <v>Circuit décathlon</v>
      </c>
      <c r="M785" s="1006"/>
      <c r="N785" s="1006"/>
      <c r="O785" s="1006"/>
      <c r="P785" s="1006"/>
      <c r="Q785" s="1006"/>
      <c r="R785" s="1006"/>
      <c r="S785" s="1006"/>
      <c r="T785" s="426"/>
      <c r="U785" s="449"/>
    </row>
    <row r="786" spans="1:21" s="232" customFormat="1" ht="15.75" x14ac:dyDescent="0.2">
      <c r="A786" s="425"/>
      <c r="B786" s="231"/>
      <c r="C786" s="231"/>
      <c r="D786" s="427" t="s">
        <v>83</v>
      </c>
      <c r="E786" s="474">
        <f>Rens!J50</f>
        <v>0</v>
      </c>
      <c r="F786" s="231"/>
      <c r="G786" s="231"/>
      <c r="H786" s="231"/>
      <c r="I786" s="231"/>
      <c r="J786" s="428"/>
      <c r="K786" s="425"/>
      <c r="L786" s="425"/>
      <c r="M786" s="231"/>
      <c r="N786" s="231"/>
      <c r="O786" s="427" t="s">
        <v>83</v>
      </c>
      <c r="P786" s="474">
        <f>Rens!J51</f>
        <v>0</v>
      </c>
      <c r="Q786" s="231"/>
      <c r="R786" s="231"/>
      <c r="S786" s="231"/>
      <c r="T786" s="231"/>
      <c r="U786" s="428"/>
    </row>
    <row r="787" spans="1:21" s="232" customFormat="1" ht="18.75" x14ac:dyDescent="0.2">
      <c r="A787" s="429" t="s">
        <v>84</v>
      </c>
      <c r="B787" s="430" t="str">
        <f>$B$3</f>
        <v>Minimes</v>
      </c>
      <c r="C787" s="231"/>
      <c r="D787" s="231"/>
      <c r="E787" s="231"/>
      <c r="F787" s="231"/>
      <c r="G787" s="231"/>
      <c r="H787" s="231"/>
      <c r="I787" s="231"/>
      <c r="J787" s="428"/>
      <c r="K787" s="425"/>
      <c r="L787" s="429" t="s">
        <v>84</v>
      </c>
      <c r="M787" s="430" t="str">
        <f>$B$3</f>
        <v>Minimes</v>
      </c>
      <c r="N787" s="231"/>
      <c r="O787" s="231"/>
      <c r="P787" s="231"/>
      <c r="Q787" s="231"/>
      <c r="R787" s="231"/>
      <c r="S787" s="231"/>
      <c r="T787" s="231"/>
      <c r="U787" s="428"/>
    </row>
    <row r="788" spans="1:21" s="232" customFormat="1" ht="18.75" x14ac:dyDescent="0.2">
      <c r="A788" s="997" t="s">
        <v>230</v>
      </c>
      <c r="B788" s="998"/>
      <c r="C788" s="998"/>
      <c r="D788" s="998"/>
      <c r="E788" s="231"/>
      <c r="F788" s="231"/>
      <c r="G788" s="499" t="str">
        <f>Rens!I50</f>
        <v>H'</v>
      </c>
      <c r="H788" s="231"/>
      <c r="I788" s="231"/>
      <c r="J788" s="428"/>
      <c r="K788" s="425"/>
      <c r="L788" s="997" t="str">
        <f>A788</f>
        <v>Places 13 à 16</v>
      </c>
      <c r="M788" s="998"/>
      <c r="N788" s="998"/>
      <c r="O788" s="998"/>
      <c r="P788" s="231"/>
      <c r="Q788" s="231"/>
      <c r="R788" s="499" t="str">
        <f>Rens!I51</f>
        <v>L'</v>
      </c>
      <c r="S788" s="231"/>
      <c r="T788" s="499"/>
      <c r="U788" s="428"/>
    </row>
    <row r="789" spans="1:21" s="343" customFormat="1" ht="23.25" x14ac:dyDescent="0.2">
      <c r="A789" s="432"/>
      <c r="B789" s="434" t="str">
        <f>Tableau!P18</f>
        <v/>
      </c>
      <c r="C789" s="345"/>
      <c r="D789" s="345"/>
      <c r="E789" s="344" t="s">
        <v>178</v>
      </c>
      <c r="F789" s="234">
        <f>Rens!K50</f>
        <v>0</v>
      </c>
      <c r="G789" s="345"/>
      <c r="H789" s="345"/>
      <c r="I789" s="345"/>
      <c r="J789" s="431"/>
      <c r="K789" s="432"/>
      <c r="L789" s="432"/>
      <c r="M789" s="434" t="str">
        <f>Tableau!P10</f>
        <v/>
      </c>
      <c r="N789" s="345"/>
      <c r="O789" s="345"/>
      <c r="P789" s="344" t="s">
        <v>178</v>
      </c>
      <c r="Q789" s="234">
        <f>Rens!K51</f>
        <v>0</v>
      </c>
      <c r="R789" s="345"/>
      <c r="S789" s="345"/>
      <c r="T789" s="345"/>
      <c r="U789" s="431"/>
    </row>
    <row r="790" spans="1:21" s="232" customFormat="1" ht="15.75" x14ac:dyDescent="0.2">
      <c r="A790" s="470" t="s">
        <v>85</v>
      </c>
      <c r="B790" s="436" t="str">
        <f>IF(B789="","",VLOOKUP(B789,liste!$A$9:$G$145,2,FALSE))</f>
        <v/>
      </c>
      <c r="C790" s="471"/>
      <c r="D790" s="471"/>
      <c r="E790" s="471"/>
      <c r="F790" s="471"/>
      <c r="G790" s="471"/>
      <c r="H790" s="471"/>
      <c r="I790" s="231"/>
      <c r="J790" s="428"/>
      <c r="K790" s="425"/>
      <c r="L790" s="470" t="s">
        <v>85</v>
      </c>
      <c r="M790" s="436" t="str">
        <f>IF(M789="","",VLOOKUP(M789,liste!$A$9:$G$145,2,FALSE))</f>
        <v/>
      </c>
      <c r="N790" s="471"/>
      <c r="O790" s="471"/>
      <c r="P790" s="471"/>
      <c r="Q790" s="471"/>
      <c r="R790" s="471"/>
      <c r="S790" s="471"/>
      <c r="T790" s="471"/>
      <c r="U790" s="472"/>
    </row>
    <row r="791" spans="1:21" s="232" customFormat="1" ht="20.100000000000001" customHeight="1" x14ac:dyDescent="0.2">
      <c r="A791" s="425"/>
      <c r="D791" s="999" t="s">
        <v>19</v>
      </c>
      <c r="E791" s="1000"/>
      <c r="F791" s="1000"/>
      <c r="G791" s="1000"/>
      <c r="H791" s="1000"/>
      <c r="I791" s="1000"/>
      <c r="J791" s="1001"/>
      <c r="K791" s="425"/>
      <c r="L791" s="443"/>
      <c r="M791" s="444"/>
      <c r="N791" s="444"/>
      <c r="O791" s="1002" t="s">
        <v>19</v>
      </c>
      <c r="P791" s="1003"/>
      <c r="Q791" s="1003"/>
      <c r="R791" s="1003"/>
      <c r="S791" s="1003"/>
      <c r="T791" s="1003"/>
      <c r="U791" s="1004"/>
    </row>
    <row r="792" spans="1:21" s="232" customFormat="1" ht="20.100000000000001" customHeight="1" x14ac:dyDescent="0.2">
      <c r="A792" s="992" t="s">
        <v>86</v>
      </c>
      <c r="B792" s="993"/>
      <c r="C792" s="993"/>
      <c r="D792" s="467">
        <v>1</v>
      </c>
      <c r="E792" s="467">
        <v>2</v>
      </c>
      <c r="F792" s="467">
        <v>3</v>
      </c>
      <c r="G792" s="467">
        <v>4</v>
      </c>
      <c r="H792" s="467">
        <v>5</v>
      </c>
      <c r="I792" s="467">
        <v>6</v>
      </c>
      <c r="J792" s="467">
        <v>7</v>
      </c>
      <c r="K792" s="425"/>
      <c r="L792" s="992" t="s">
        <v>86</v>
      </c>
      <c r="M792" s="993"/>
      <c r="N792" s="993"/>
      <c r="O792" s="445">
        <v>1</v>
      </c>
      <c r="P792" s="445">
        <v>2</v>
      </c>
      <c r="Q792" s="445">
        <v>3</v>
      </c>
      <c r="R792" s="445">
        <v>4</v>
      </c>
      <c r="S792" s="446">
        <v>5</v>
      </c>
      <c r="T792" s="497">
        <v>6</v>
      </c>
      <c r="U792" s="446">
        <v>7</v>
      </c>
    </row>
    <row r="793" spans="1:21" s="232" customFormat="1" ht="20.100000000000001" customHeight="1" x14ac:dyDescent="0.2">
      <c r="A793" s="500"/>
      <c r="B793" s="501"/>
      <c r="C793" s="501"/>
      <c r="D793" s="994" t="s">
        <v>92</v>
      </c>
      <c r="E793" s="995"/>
      <c r="F793" s="995"/>
      <c r="G793" s="995"/>
      <c r="H793" s="995"/>
      <c r="I793" s="995"/>
      <c r="J793" s="996"/>
      <c r="K793" s="425"/>
      <c r="L793" s="500"/>
      <c r="M793" s="501"/>
      <c r="N793" s="501"/>
      <c r="O793" s="994" t="s">
        <v>92</v>
      </c>
      <c r="P793" s="995"/>
      <c r="Q793" s="995"/>
      <c r="R793" s="995"/>
      <c r="S793" s="995"/>
      <c r="T793" s="995"/>
      <c r="U793" s="996"/>
    </row>
    <row r="794" spans="1:21" s="232" customFormat="1" ht="18.75" x14ac:dyDescent="0.2">
      <c r="A794" s="498" t="str">
        <f>Tableau!AH77</f>
        <v/>
      </c>
      <c r="C794" s="231"/>
      <c r="D794" s="448"/>
      <c r="E794" s="448"/>
      <c r="F794" s="448"/>
      <c r="G794" s="448"/>
      <c r="H794" s="448"/>
      <c r="I794" s="448"/>
      <c r="J794" s="448"/>
      <c r="K794" s="425"/>
      <c r="L794" s="498" t="str">
        <f>Tableau!AH85</f>
        <v/>
      </c>
      <c r="M794" s="231"/>
      <c r="N794" s="231"/>
      <c r="O794" s="448"/>
      <c r="P794" s="448"/>
      <c r="Q794" s="448"/>
      <c r="R794" s="448"/>
      <c r="S794" s="448"/>
      <c r="T794" s="449"/>
      <c r="U794" s="448"/>
    </row>
    <row r="795" spans="1:21" s="232" customFormat="1" ht="20.100000000000001" customHeight="1" x14ac:dyDescent="0.2">
      <c r="A795" s="990" t="str">
        <f>IF(A794="","",VLOOKUP(A794,liste!$A$9:$G$145,2,FALSE))</f>
        <v/>
      </c>
      <c r="B795" s="991" t="s">
        <v>288</v>
      </c>
      <c r="C795" s="991" t="s">
        <v>288</v>
      </c>
      <c r="D795" s="447"/>
      <c r="E795" s="447"/>
      <c r="F795" s="447"/>
      <c r="G795" s="447"/>
      <c r="H795" s="447"/>
      <c r="I795" s="447"/>
      <c r="J795" s="447"/>
      <c r="K795" s="425"/>
      <c r="L795" s="990" t="str">
        <f>IF(L794="","",VLOOKUP(L794,liste!$A$9:$G$145,2,FALSE))</f>
        <v/>
      </c>
      <c r="M795" s="991" t="s">
        <v>288</v>
      </c>
      <c r="N795" s="991" t="s">
        <v>288</v>
      </c>
      <c r="O795" s="447"/>
      <c r="P795" s="447"/>
      <c r="Q795" s="447"/>
      <c r="R795" s="447"/>
      <c r="S795" s="447"/>
      <c r="T795" s="428"/>
      <c r="U795" s="447"/>
    </row>
    <row r="796" spans="1:21" s="232" customFormat="1" ht="20.100000000000001" customHeight="1" x14ac:dyDescent="0.2">
      <c r="A796" s="440"/>
      <c r="B796" s="438"/>
      <c r="C796" s="450" t="str">
        <f>IF(A794="","",VLOOKUP(A794,liste!$A$9:$G$145,4,FALSE))</f>
        <v/>
      </c>
      <c r="D796" s="451"/>
      <c r="E796" s="451"/>
      <c r="F796" s="451"/>
      <c r="G796" s="451"/>
      <c r="H796" s="451"/>
      <c r="I796" s="451"/>
      <c r="J796" s="451"/>
      <c r="K796" s="425"/>
      <c r="L796" s="440"/>
      <c r="M796" s="438"/>
      <c r="N796" s="450" t="str">
        <f>IF(L794="","",VLOOKUP(L794,liste!$A$9:$G$145,4,FALSE))</f>
        <v/>
      </c>
      <c r="O796" s="451"/>
      <c r="P796" s="451"/>
      <c r="Q796" s="451"/>
      <c r="R796" s="451"/>
      <c r="S796" s="451"/>
      <c r="T796" s="452"/>
      <c r="U796" s="451"/>
    </row>
    <row r="797" spans="1:21" s="232" customFormat="1" ht="15.75" x14ac:dyDescent="0.2">
      <c r="A797" s="468" t="str">
        <f>IF(A794="","",VLOOKUP(A794,liste!$A$9:$G$145,3,FALSE))</f>
        <v/>
      </c>
      <c r="B797" s="438"/>
      <c r="C797" s="438"/>
      <c r="D797" s="455"/>
      <c r="E797" s="455"/>
      <c r="F797" s="455"/>
      <c r="G797" s="455"/>
      <c r="H797" s="455"/>
      <c r="I797" s="455"/>
      <c r="J797" s="455"/>
      <c r="K797" s="425"/>
      <c r="L797" s="468" t="str">
        <f>IF(L794="","",VLOOKUP(L794,liste!$A$9:$G$145,3,FALSE))</f>
        <v/>
      </c>
      <c r="M797" s="438"/>
      <c r="N797" s="438"/>
      <c r="O797" s="454"/>
      <c r="P797" s="454"/>
      <c r="Q797" s="454"/>
      <c r="R797" s="454"/>
      <c r="S797" s="454"/>
      <c r="T797" s="456"/>
      <c r="U797" s="454"/>
    </row>
    <row r="798" spans="1:21" s="232" customFormat="1" ht="12.75" x14ac:dyDescent="0.2">
      <c r="A798" s="425"/>
      <c r="B798" s="230" t="s">
        <v>9</v>
      </c>
      <c r="C798" s="231"/>
      <c r="D798" s="458"/>
      <c r="E798" s="458"/>
      <c r="F798" s="458"/>
      <c r="G798" s="458"/>
      <c r="H798" s="458"/>
      <c r="I798" s="458"/>
      <c r="J798" s="458"/>
      <c r="K798" s="425"/>
      <c r="L798" s="425"/>
      <c r="M798" s="230" t="s">
        <v>9</v>
      </c>
      <c r="N798" s="231"/>
      <c r="O798" s="457"/>
      <c r="P798" s="457"/>
      <c r="Q798" s="457"/>
      <c r="R798" s="457"/>
      <c r="S798" s="457"/>
      <c r="T798" s="459"/>
      <c r="U798" s="457"/>
    </row>
    <row r="799" spans="1:21" s="232" customFormat="1" ht="18.75" x14ac:dyDescent="0.2">
      <c r="A799" s="498" t="str">
        <f>Tableau!AH81</f>
        <v/>
      </c>
      <c r="B799" s="469"/>
      <c r="C799" s="231"/>
      <c r="D799" s="448"/>
      <c r="E799" s="448"/>
      <c r="F799" s="448"/>
      <c r="G799" s="448"/>
      <c r="H799" s="448"/>
      <c r="I799" s="448"/>
      <c r="J799" s="448"/>
      <c r="K799" s="425"/>
      <c r="L799" s="498" t="str">
        <f>Tableau!AH89</f>
        <v/>
      </c>
      <c r="M799" s="231"/>
      <c r="N799" s="231"/>
      <c r="O799" s="448"/>
      <c r="P799" s="448"/>
      <c r="Q799" s="448"/>
      <c r="R799" s="448"/>
      <c r="S799" s="448"/>
      <c r="T799" s="449"/>
      <c r="U799" s="448"/>
    </row>
    <row r="800" spans="1:21" s="232" customFormat="1" ht="20.100000000000001" customHeight="1" x14ac:dyDescent="0.2">
      <c r="A800" s="990" t="str">
        <f>IF(A799="","",VLOOKUP(A799,liste!$A$9:$G$145,2,FALSE))</f>
        <v/>
      </c>
      <c r="B800" s="991" t="s">
        <v>288</v>
      </c>
      <c r="C800" s="991" t="s">
        <v>288</v>
      </c>
      <c r="D800" s="447"/>
      <c r="E800" s="447"/>
      <c r="F800" s="447"/>
      <c r="G800" s="447"/>
      <c r="H800" s="447"/>
      <c r="I800" s="447"/>
      <c r="J800" s="447"/>
      <c r="K800" s="425"/>
      <c r="L800" s="990" t="str">
        <f>IF(L799="","",VLOOKUP(L799,liste!$A$9:$G$145,2,FALSE))</f>
        <v/>
      </c>
      <c r="M800" s="991" t="s">
        <v>288</v>
      </c>
      <c r="N800" s="991" t="s">
        <v>288</v>
      </c>
      <c r="O800" s="447"/>
      <c r="P800" s="447"/>
      <c r="Q800" s="447"/>
      <c r="R800" s="447"/>
      <c r="S800" s="447"/>
      <c r="T800" s="428"/>
      <c r="U800" s="447"/>
    </row>
    <row r="801" spans="1:21" s="232" customFormat="1" ht="20.100000000000001" customHeight="1" x14ac:dyDescent="0.2">
      <c r="A801" s="440"/>
      <c r="B801" s="438"/>
      <c r="C801" s="450" t="str">
        <f>IF(A799="","",VLOOKUP(A799,liste!$A$9:$G$145,4,FALSE))</f>
        <v/>
      </c>
      <c r="D801" s="451"/>
      <c r="E801" s="451"/>
      <c r="F801" s="451"/>
      <c r="G801" s="451"/>
      <c r="H801" s="451"/>
      <c r="I801" s="451"/>
      <c r="J801" s="451"/>
      <c r="K801" s="425"/>
      <c r="L801" s="440"/>
      <c r="M801" s="438"/>
      <c r="N801" s="450" t="str">
        <f>IF(L799="","",VLOOKUP(L799,liste!$A$9:$G$145,4,FALSE))</f>
        <v/>
      </c>
      <c r="O801" s="451"/>
      <c r="P801" s="451"/>
      <c r="Q801" s="451"/>
      <c r="R801" s="451"/>
      <c r="S801" s="451"/>
      <c r="T801" s="452"/>
      <c r="U801" s="451"/>
    </row>
    <row r="802" spans="1:21" s="232" customFormat="1" ht="15.75" x14ac:dyDescent="0.2">
      <c r="A802" s="473" t="str">
        <f>IF(A799="","",VLOOKUP(A799,liste!$A$9:$G$145,3,FALSE))</f>
        <v/>
      </c>
      <c r="B802" s="438"/>
      <c r="C802" s="438"/>
      <c r="D802" s="455"/>
      <c r="E802" s="455"/>
      <c r="F802" s="455"/>
      <c r="G802" s="455"/>
      <c r="H802" s="455"/>
      <c r="I802" s="455"/>
      <c r="J802" s="455"/>
      <c r="K802" s="425"/>
      <c r="L802" s="468" t="str">
        <f>IF(L799="","",VLOOKUP(L799,liste!$A$9:$G$145,3,FALSE))</f>
        <v/>
      </c>
      <c r="M802" s="438"/>
      <c r="N802" s="438"/>
      <c r="O802" s="454"/>
      <c r="P802" s="454"/>
      <c r="Q802" s="454"/>
      <c r="R802" s="454"/>
      <c r="S802" s="454"/>
      <c r="T802" s="456"/>
      <c r="U802" s="454"/>
    </row>
    <row r="803" spans="1:21" s="232" customFormat="1" ht="12.75" x14ac:dyDescent="0.2">
      <c r="A803" s="425"/>
      <c r="B803" s="231"/>
      <c r="C803" s="231"/>
      <c r="D803" s="458"/>
      <c r="E803" s="458"/>
      <c r="F803" s="458"/>
      <c r="G803" s="458"/>
      <c r="H803" s="458"/>
      <c r="I803" s="458"/>
      <c r="J803" s="458"/>
      <c r="K803" s="425"/>
      <c r="L803" s="425"/>
      <c r="M803" s="231"/>
      <c r="N803" s="231"/>
      <c r="O803" s="457"/>
      <c r="P803" s="457"/>
      <c r="Q803" s="457"/>
      <c r="R803" s="457"/>
      <c r="S803" s="457"/>
      <c r="T803" s="459"/>
      <c r="U803" s="457"/>
    </row>
    <row r="804" spans="1:21" s="232" customFormat="1" ht="12.75" x14ac:dyDescent="0.2">
      <c r="A804" s="425"/>
      <c r="B804" s="231"/>
      <c r="C804" s="231"/>
      <c r="D804" s="231"/>
      <c r="E804" s="231"/>
      <c r="F804" s="231"/>
      <c r="G804" s="231"/>
      <c r="H804" s="231"/>
      <c r="I804" s="231"/>
      <c r="J804" s="428"/>
      <c r="K804" s="425"/>
      <c r="L804" s="425"/>
      <c r="M804" s="231"/>
      <c r="N804" s="231"/>
      <c r="O804" s="231"/>
      <c r="P804" s="231"/>
      <c r="Q804" s="231"/>
      <c r="R804" s="231"/>
      <c r="S804" s="231"/>
      <c r="T804" s="231"/>
      <c r="U804" s="428"/>
    </row>
    <row r="805" spans="1:21" s="232" customFormat="1" ht="20.100000000000001" customHeight="1" x14ac:dyDescent="0.2">
      <c r="A805" s="988" t="s">
        <v>90</v>
      </c>
      <c r="B805" s="989"/>
      <c r="C805" s="989"/>
      <c r="D805" s="461" t="s">
        <v>77</v>
      </c>
      <c r="E805" s="461" t="s">
        <v>87</v>
      </c>
      <c r="F805" s="461" t="s">
        <v>88</v>
      </c>
      <c r="G805" s="231"/>
      <c r="H805" s="231"/>
      <c r="I805" s="231"/>
      <c r="J805" s="428"/>
      <c r="K805" s="425"/>
      <c r="L805" s="988" t="s">
        <v>90</v>
      </c>
      <c r="M805" s="989"/>
      <c r="N805" s="989"/>
      <c r="O805" s="461" t="s">
        <v>77</v>
      </c>
      <c r="P805" s="461" t="s">
        <v>87</v>
      </c>
      <c r="Q805" s="461" t="s">
        <v>88</v>
      </c>
      <c r="R805" s="231"/>
      <c r="S805" s="231"/>
      <c r="T805" s="231"/>
      <c r="U805" s="428"/>
    </row>
    <row r="806" spans="1:21" s="232" customFormat="1" ht="20.100000000000001" customHeight="1" x14ac:dyDescent="0.2">
      <c r="A806" s="462" t="str">
        <f>A795</f>
        <v/>
      </c>
      <c r="B806" s="426"/>
      <c r="C806" s="449"/>
      <c r="D806" s="448"/>
      <c r="E806" s="448"/>
      <c r="F806" s="448"/>
      <c r="G806" s="231"/>
      <c r="H806" s="231"/>
      <c r="I806" s="231"/>
      <c r="J806" s="428"/>
      <c r="K806" s="425"/>
      <c r="L806" s="462" t="str">
        <f>L795</f>
        <v/>
      </c>
      <c r="M806" s="426"/>
      <c r="N806" s="449"/>
      <c r="O806" s="448"/>
      <c r="P806" s="448"/>
      <c r="Q806" s="448"/>
      <c r="R806" s="231"/>
      <c r="S806" s="231"/>
      <c r="T806" s="231"/>
      <c r="U806" s="428"/>
    </row>
    <row r="807" spans="1:21" s="232" customFormat="1" ht="20.100000000000001" customHeight="1" x14ac:dyDescent="0.2">
      <c r="A807" s="463"/>
      <c r="B807" s="233"/>
      <c r="C807" s="452"/>
      <c r="D807" s="451"/>
      <c r="E807" s="451"/>
      <c r="F807" s="451"/>
      <c r="G807" s="231"/>
      <c r="H807" s="231"/>
      <c r="I807" s="231"/>
      <c r="J807" s="428"/>
      <c r="K807" s="425"/>
      <c r="L807" s="463"/>
      <c r="M807" s="233"/>
      <c r="N807" s="452"/>
      <c r="O807" s="451"/>
      <c r="P807" s="451"/>
      <c r="Q807" s="451"/>
      <c r="R807" s="231"/>
      <c r="S807" s="231"/>
      <c r="T807" s="231"/>
      <c r="U807" s="428"/>
    </row>
    <row r="808" spans="1:21" s="232" customFormat="1" ht="20.100000000000001" customHeight="1" x14ac:dyDescent="0.2">
      <c r="A808" s="462" t="str">
        <f>A800</f>
        <v/>
      </c>
      <c r="B808" s="426"/>
      <c r="C808" s="449"/>
      <c r="D808" s="448"/>
      <c r="E808" s="448"/>
      <c r="F808" s="448"/>
      <c r="G808" s="231"/>
      <c r="H808" s="231"/>
      <c r="I808" s="231"/>
      <c r="J808" s="428"/>
      <c r="K808" s="425"/>
      <c r="L808" s="462" t="str">
        <f>L800</f>
        <v/>
      </c>
      <c r="M808" s="426"/>
      <c r="N808" s="449"/>
      <c r="O808" s="448"/>
      <c r="P808" s="448"/>
      <c r="Q808" s="448"/>
      <c r="R808" s="231"/>
      <c r="S808" s="231"/>
      <c r="T808" s="231"/>
      <c r="U808" s="428"/>
    </row>
    <row r="809" spans="1:21" s="232" customFormat="1" ht="20.100000000000001" customHeight="1" x14ac:dyDescent="0.2">
      <c r="A809" s="463"/>
      <c r="B809" s="233"/>
      <c r="C809" s="452"/>
      <c r="D809" s="451"/>
      <c r="E809" s="451"/>
      <c r="F809" s="451"/>
      <c r="G809" s="231"/>
      <c r="H809" s="231"/>
      <c r="I809" s="231"/>
      <c r="J809" s="428"/>
      <c r="K809" s="425"/>
      <c r="L809" s="463"/>
      <c r="M809" s="233"/>
      <c r="N809" s="452"/>
      <c r="O809" s="451"/>
      <c r="P809" s="451"/>
      <c r="Q809" s="451"/>
      <c r="R809" s="231"/>
      <c r="S809" s="231"/>
      <c r="T809" s="231"/>
      <c r="U809" s="428"/>
    </row>
    <row r="810" spans="1:21" s="232" customFormat="1" ht="12.75" x14ac:dyDescent="0.2">
      <c r="A810" s="464" t="s">
        <v>91</v>
      </c>
      <c r="B810" s="231"/>
      <c r="C810" s="231"/>
      <c r="D810" s="231"/>
      <c r="E810" s="231"/>
      <c r="F810" s="231"/>
      <c r="G810" s="231"/>
      <c r="H810" s="231"/>
      <c r="I810" s="231"/>
      <c r="J810" s="428"/>
      <c r="K810" s="425"/>
      <c r="L810" s="464" t="s">
        <v>91</v>
      </c>
      <c r="M810" s="231"/>
      <c r="N810" s="231"/>
      <c r="O810" s="231"/>
      <c r="P810" s="231"/>
      <c r="Q810" s="231"/>
      <c r="R810" s="231"/>
      <c r="S810" s="231"/>
      <c r="T810" s="231"/>
      <c r="U810" s="428"/>
    </row>
    <row r="811" spans="1:21" s="232" customFormat="1" ht="12.75" x14ac:dyDescent="0.2">
      <c r="A811" s="425"/>
      <c r="B811" s="231"/>
      <c r="C811" s="231"/>
      <c r="D811" s="231"/>
      <c r="E811" s="231"/>
      <c r="F811" s="231"/>
      <c r="G811" s="231"/>
      <c r="H811" s="231"/>
      <c r="I811" s="231"/>
      <c r="J811" s="428"/>
      <c r="K811" s="425"/>
      <c r="L811" s="425"/>
      <c r="M811" s="231"/>
      <c r="N811" s="231"/>
      <c r="O811" s="231"/>
      <c r="P811" s="231"/>
      <c r="Q811" s="231"/>
      <c r="R811" s="231"/>
      <c r="S811" s="231"/>
      <c r="T811" s="231"/>
      <c r="U811" s="428"/>
    </row>
    <row r="812" spans="1:21" s="232" customFormat="1" ht="12.75" customHeight="1" x14ac:dyDescent="0.2">
      <c r="A812" s="465" t="s">
        <v>89</v>
      </c>
      <c r="B812" s="233"/>
      <c r="C812" s="233"/>
      <c r="D812" s="233"/>
      <c r="E812" s="233"/>
      <c r="F812" s="233"/>
      <c r="G812" s="233"/>
      <c r="H812" s="233"/>
      <c r="I812" s="233"/>
      <c r="J812" s="452"/>
      <c r="K812" s="425"/>
      <c r="L812" s="465" t="s">
        <v>89</v>
      </c>
      <c r="M812" s="233"/>
      <c r="N812" s="233"/>
      <c r="O812" s="233"/>
      <c r="P812" s="233"/>
      <c r="Q812" s="233"/>
      <c r="R812" s="233"/>
      <c r="S812" s="233"/>
      <c r="T812" s="233"/>
      <c r="U812" s="452"/>
    </row>
    <row r="813" spans="1:21" s="232" customFormat="1" ht="20.100000000000001" customHeight="1" x14ac:dyDescent="0.2">
      <c r="A813" s="1005" t="str">
        <f>$A$1</f>
        <v>Circuit décathlon</v>
      </c>
      <c r="B813" s="1006"/>
      <c r="C813" s="1006"/>
      <c r="D813" s="1006"/>
      <c r="E813" s="1006"/>
      <c r="F813" s="1006"/>
      <c r="G813" s="1006"/>
      <c r="H813" s="1006"/>
      <c r="I813" s="1006"/>
      <c r="J813" s="1007"/>
      <c r="K813" s="425"/>
      <c r="L813" s="1005" t="str">
        <f>$A$1</f>
        <v>Circuit décathlon</v>
      </c>
      <c r="M813" s="1006"/>
      <c r="N813" s="1006"/>
      <c r="O813" s="1006"/>
      <c r="P813" s="1006"/>
      <c r="Q813" s="1006"/>
      <c r="R813" s="1006"/>
      <c r="S813" s="1006"/>
      <c r="T813" s="426"/>
      <c r="U813" s="449"/>
    </row>
    <row r="814" spans="1:21" s="232" customFormat="1" ht="15.75" x14ac:dyDescent="0.2">
      <c r="A814" s="425"/>
      <c r="B814" s="231"/>
      <c r="C814" s="231"/>
      <c r="D814" s="427" t="s">
        <v>83</v>
      </c>
      <c r="E814" s="474">
        <f>Rens!F55</f>
        <v>0</v>
      </c>
      <c r="F814" s="231"/>
      <c r="G814" s="231"/>
      <c r="H814" s="231"/>
      <c r="I814" s="231"/>
      <c r="J814" s="428"/>
      <c r="K814" s="425"/>
      <c r="L814" s="425"/>
      <c r="M814" s="231"/>
      <c r="N814" s="231"/>
      <c r="O814" s="427" t="s">
        <v>83</v>
      </c>
      <c r="P814" s="474">
        <f>Rens!F56</f>
        <v>0</v>
      </c>
      <c r="Q814" s="231"/>
      <c r="R814" s="231"/>
      <c r="S814" s="231"/>
      <c r="T814" s="231"/>
      <c r="U814" s="428"/>
    </row>
    <row r="815" spans="1:21" s="343" customFormat="1" ht="18.75" x14ac:dyDescent="0.2">
      <c r="A815" s="429" t="s">
        <v>84</v>
      </c>
      <c r="B815" s="430" t="str">
        <f>liste!$A$6</f>
        <v>Minimes</v>
      </c>
      <c r="C815" s="345"/>
      <c r="D815" s="345"/>
      <c r="E815" s="345"/>
      <c r="F815" s="345"/>
      <c r="G815" s="345"/>
      <c r="H815" s="345"/>
      <c r="I815" s="345"/>
      <c r="J815" s="431"/>
      <c r="K815" s="432"/>
      <c r="L815" s="429" t="s">
        <v>84</v>
      </c>
      <c r="M815" s="430" t="str">
        <f>$B$3</f>
        <v>Minimes</v>
      </c>
      <c r="N815" s="345"/>
      <c r="O815" s="345"/>
      <c r="P815" s="345"/>
      <c r="Q815" s="345"/>
      <c r="R815" s="345"/>
      <c r="S815" s="345"/>
      <c r="T815" s="345"/>
      <c r="U815" s="431"/>
    </row>
    <row r="816" spans="1:21" s="343" customFormat="1" ht="18.75" x14ac:dyDescent="0.2">
      <c r="A816" s="997" t="s">
        <v>254</v>
      </c>
      <c r="B816" s="998"/>
      <c r="C816" s="998"/>
      <c r="D816" s="998"/>
      <c r="E816" s="345"/>
      <c r="F816" s="345"/>
      <c r="G816" s="430"/>
      <c r="H816" s="430"/>
      <c r="I816" s="345"/>
      <c r="J816" s="431"/>
      <c r="K816" s="432"/>
      <c r="L816" s="997" t="s">
        <v>261</v>
      </c>
      <c r="M816" s="998"/>
      <c r="N816" s="998"/>
      <c r="O816" s="998"/>
      <c r="P816" s="345"/>
      <c r="Q816" s="345"/>
      <c r="R816" s="430"/>
      <c r="S816" s="430"/>
      <c r="T816" s="430"/>
      <c r="U816" s="433"/>
    </row>
    <row r="817" spans="1:21" s="343" customFormat="1" ht="23.25" x14ac:dyDescent="0.2">
      <c r="A817" s="432"/>
      <c r="B817" s="434" t="str">
        <f>Tableau!AB48</f>
        <v/>
      </c>
      <c r="C817" s="345"/>
      <c r="D817" s="345"/>
      <c r="E817" s="344" t="s">
        <v>178</v>
      </c>
      <c r="F817" s="234">
        <f>Rens!G55</f>
        <v>0</v>
      </c>
      <c r="G817" s="345"/>
      <c r="H817" s="345"/>
      <c r="I817" s="345"/>
      <c r="J817" s="431"/>
      <c r="K817" s="432"/>
      <c r="L817" s="432"/>
      <c r="M817" s="434" t="str">
        <f>Tableau!AB40</f>
        <v/>
      </c>
      <c r="N817" s="345"/>
      <c r="O817" s="345"/>
      <c r="P817" s="344" t="s">
        <v>178</v>
      </c>
      <c r="Q817" s="234">
        <f>Rens!G56</f>
        <v>0</v>
      </c>
      <c r="R817" s="345"/>
      <c r="S817" s="345"/>
      <c r="T817" s="345"/>
      <c r="U817" s="431"/>
    </row>
    <row r="818" spans="1:21" s="442" customFormat="1" ht="15.75" x14ac:dyDescent="0.2">
      <c r="A818" s="435" t="s">
        <v>85</v>
      </c>
      <c r="B818" s="436" t="str">
        <f>IF(B817="","",VLOOKUP(B817,liste!$A$9:$G$145,2,FALSE))</f>
        <v/>
      </c>
      <c r="C818" s="437"/>
      <c r="D818" s="437"/>
      <c r="E818" s="437"/>
      <c r="F818" s="437"/>
      <c r="G818" s="437"/>
      <c r="H818" s="437"/>
      <c r="I818" s="438"/>
      <c r="J818" s="439"/>
      <c r="K818" s="440"/>
      <c r="L818" s="435" t="s">
        <v>85</v>
      </c>
      <c r="M818" s="436" t="str">
        <f>IF(M817="","",VLOOKUP(M817,liste!$A$9:$G$145,2,FALSE))</f>
        <v/>
      </c>
      <c r="N818" s="437"/>
      <c r="O818" s="437"/>
      <c r="P818" s="437"/>
      <c r="Q818" s="437"/>
      <c r="R818" s="437"/>
      <c r="S818" s="437"/>
      <c r="T818" s="437"/>
      <c r="U818" s="441"/>
    </row>
    <row r="819" spans="1:21" s="232" customFormat="1" ht="20.100000000000001" customHeight="1" x14ac:dyDescent="0.2">
      <c r="A819" s="425"/>
      <c r="B819" s="231"/>
      <c r="C819" s="231"/>
      <c r="D819" s="999" t="s">
        <v>19</v>
      </c>
      <c r="E819" s="1000"/>
      <c r="F819" s="1000"/>
      <c r="G819" s="1000"/>
      <c r="H819" s="1000"/>
      <c r="I819" s="1000"/>
      <c r="J819" s="1001"/>
      <c r="K819" s="425"/>
      <c r="L819" s="443"/>
      <c r="M819" s="444"/>
      <c r="N819" s="444"/>
      <c r="O819" s="1002" t="s">
        <v>19</v>
      </c>
      <c r="P819" s="1003"/>
      <c r="Q819" s="1003"/>
      <c r="R819" s="1003"/>
      <c r="S819" s="1003"/>
      <c r="T819" s="1003"/>
      <c r="U819" s="1004"/>
    </row>
    <row r="820" spans="1:21" s="232" customFormat="1" ht="20.100000000000001" customHeight="1" x14ac:dyDescent="0.2">
      <c r="A820" s="992" t="s">
        <v>86</v>
      </c>
      <c r="B820" s="993"/>
      <c r="C820" s="993"/>
      <c r="D820" s="467">
        <v>1</v>
      </c>
      <c r="E820" s="467">
        <v>2</v>
      </c>
      <c r="F820" s="467">
        <v>3</v>
      </c>
      <c r="G820" s="467">
        <v>4</v>
      </c>
      <c r="H820" s="467">
        <v>5</v>
      </c>
      <c r="I820" s="467">
        <v>6</v>
      </c>
      <c r="J820" s="467">
        <v>7</v>
      </c>
      <c r="K820" s="425"/>
      <c r="L820" s="992" t="s">
        <v>86</v>
      </c>
      <c r="M820" s="993"/>
      <c r="N820" s="993"/>
      <c r="O820" s="445">
        <v>1</v>
      </c>
      <c r="P820" s="445">
        <v>2</v>
      </c>
      <c r="Q820" s="445">
        <v>3</v>
      </c>
      <c r="R820" s="445">
        <v>4</v>
      </c>
      <c r="S820" s="446">
        <v>5</v>
      </c>
      <c r="T820" s="497">
        <v>6</v>
      </c>
      <c r="U820" s="446">
        <v>7</v>
      </c>
    </row>
    <row r="821" spans="1:21" s="232" customFormat="1" ht="20.100000000000001" customHeight="1" x14ac:dyDescent="0.2">
      <c r="A821" s="500"/>
      <c r="B821" s="501"/>
      <c r="C821" s="501"/>
      <c r="D821" s="994" t="s">
        <v>92</v>
      </c>
      <c r="E821" s="995"/>
      <c r="F821" s="995"/>
      <c r="G821" s="995"/>
      <c r="H821" s="995"/>
      <c r="I821" s="995"/>
      <c r="J821" s="996"/>
      <c r="K821" s="425"/>
      <c r="L821" s="500"/>
      <c r="M821" s="501"/>
      <c r="N821" s="501"/>
      <c r="O821" s="994" t="s">
        <v>92</v>
      </c>
      <c r="P821" s="995"/>
      <c r="Q821" s="995"/>
      <c r="R821" s="995"/>
      <c r="S821" s="995"/>
      <c r="T821" s="995"/>
      <c r="U821" s="996"/>
    </row>
    <row r="822" spans="1:21" s="232" customFormat="1" ht="18.75" x14ac:dyDescent="0.2">
      <c r="A822" s="498">
        <f>Tableau!A19</f>
        <v>0</v>
      </c>
      <c r="B822" s="231"/>
      <c r="C822" s="231"/>
      <c r="D822" s="447"/>
      <c r="E822" s="447"/>
      <c r="F822" s="447"/>
      <c r="G822" s="447"/>
      <c r="H822" s="447"/>
      <c r="I822" s="447"/>
      <c r="J822" s="447"/>
      <c r="K822" s="425"/>
      <c r="L822" s="498" t="str">
        <f>Tableau!K58</f>
        <v/>
      </c>
      <c r="M822" s="231"/>
      <c r="N822" s="231"/>
      <c r="O822" s="448"/>
      <c r="P822" s="448"/>
      <c r="Q822" s="448"/>
      <c r="R822" s="448"/>
      <c r="S822" s="448"/>
      <c r="T822" s="449"/>
      <c r="U822" s="448"/>
    </row>
    <row r="823" spans="1:21" s="232" customFormat="1" ht="20.100000000000001" customHeight="1" x14ac:dyDescent="0.2">
      <c r="A823" s="990" t="e">
        <f>IF(A822="","",VLOOKUP(A822,liste!$A$9:$G$145,2,FALSE))</f>
        <v>#N/A</v>
      </c>
      <c r="B823" s="991" t="e">
        <v>#N/A</v>
      </c>
      <c r="C823" s="991" t="e">
        <v>#N/A</v>
      </c>
      <c r="D823" s="447"/>
      <c r="E823" s="447"/>
      <c r="F823" s="447"/>
      <c r="G823" s="447"/>
      <c r="H823" s="447"/>
      <c r="I823" s="447"/>
      <c r="J823" s="447"/>
      <c r="K823" s="425"/>
      <c r="L823" s="990" t="str">
        <f>IF(L822="","",VLOOKUP(L822,liste!$A$9:$G$145,2,FALSE))</f>
        <v/>
      </c>
      <c r="M823" s="991" t="s">
        <v>288</v>
      </c>
      <c r="N823" s="991" t="s">
        <v>288</v>
      </c>
      <c r="O823" s="447"/>
      <c r="P823" s="447"/>
      <c r="Q823" s="447"/>
      <c r="R823" s="447"/>
      <c r="S823" s="447"/>
      <c r="T823" s="428"/>
      <c r="U823" s="447"/>
    </row>
    <row r="824" spans="1:21" s="232" customFormat="1" ht="20.100000000000001" customHeight="1" x14ac:dyDescent="0.2">
      <c r="A824" s="425"/>
      <c r="B824" s="231"/>
      <c r="C824" s="450" t="e">
        <f>IF(A822="","",VLOOKUP(A822,liste!$A$9:$G$145,4,FALSE))</f>
        <v>#N/A</v>
      </c>
      <c r="D824" s="451"/>
      <c r="E824" s="451"/>
      <c r="F824" s="451"/>
      <c r="G824" s="451"/>
      <c r="H824" s="451"/>
      <c r="I824" s="451"/>
      <c r="J824" s="451"/>
      <c r="K824" s="425"/>
      <c r="L824" s="425"/>
      <c r="M824" s="231"/>
      <c r="N824" s="450" t="str">
        <f>IF(L822="","",VLOOKUP(L822,liste!$A$9:$G$145,4,FALSE))</f>
        <v/>
      </c>
      <c r="O824" s="451"/>
      <c r="P824" s="451"/>
      <c r="Q824" s="451"/>
      <c r="R824" s="451"/>
      <c r="S824" s="451"/>
      <c r="T824" s="452"/>
      <c r="U824" s="451"/>
    </row>
    <row r="825" spans="1:21" s="232" customFormat="1" ht="15.75" x14ac:dyDescent="0.2">
      <c r="A825" s="453" t="e">
        <f>IF(A822="","",VLOOKUP(A822,liste!$A$9:$G$145,3,FALSE))</f>
        <v>#N/A</v>
      </c>
      <c r="B825" s="231"/>
      <c r="C825" s="231"/>
      <c r="D825" s="455"/>
      <c r="E825" s="455"/>
      <c r="F825" s="455"/>
      <c r="G825" s="455"/>
      <c r="H825" s="455"/>
      <c r="I825" s="455"/>
      <c r="J825" s="455"/>
      <c r="K825" s="425"/>
      <c r="L825" s="453" t="str">
        <f>IF(L822="","",VLOOKUP(L822,liste!$A$9:$G$145,3,FALSE))</f>
        <v/>
      </c>
      <c r="M825" s="231"/>
      <c r="N825" s="231"/>
      <c r="O825" s="454"/>
      <c r="P825" s="454"/>
      <c r="Q825" s="454"/>
      <c r="R825" s="454"/>
      <c r="S825" s="454"/>
      <c r="T825" s="456"/>
      <c r="U825" s="454"/>
    </row>
    <row r="826" spans="1:21" s="232" customFormat="1" ht="12.75" x14ac:dyDescent="0.2">
      <c r="A826" s="425"/>
      <c r="B826" s="230" t="s">
        <v>9</v>
      </c>
      <c r="C826" s="231"/>
      <c r="D826" s="458"/>
      <c r="E826" s="458"/>
      <c r="F826" s="458"/>
      <c r="G826" s="458"/>
      <c r="H826" s="458"/>
      <c r="I826" s="458"/>
      <c r="J826" s="458"/>
      <c r="K826" s="425"/>
      <c r="L826" s="425"/>
      <c r="M826" s="230" t="s">
        <v>9</v>
      </c>
      <c r="N826" s="231"/>
      <c r="O826" s="457"/>
      <c r="P826" s="457"/>
      <c r="Q826" s="457"/>
      <c r="R826" s="457"/>
      <c r="S826" s="457"/>
      <c r="T826" s="459"/>
      <c r="U826" s="457"/>
    </row>
    <row r="827" spans="1:21" s="232" customFormat="1" ht="18.75" x14ac:dyDescent="0.2">
      <c r="A827" s="498">
        <f>Tableau!A39</f>
        <v>0</v>
      </c>
      <c r="B827" s="231"/>
      <c r="C827" s="231"/>
      <c r="D827" s="448"/>
      <c r="E827" s="448"/>
      <c r="F827" s="448"/>
      <c r="G827" s="448"/>
      <c r="H827" s="448"/>
      <c r="I827" s="448"/>
      <c r="J827" s="448"/>
      <c r="K827" s="425"/>
      <c r="L827" s="498" t="str">
        <f>Tableau!K60</f>
        <v/>
      </c>
      <c r="M827" s="231"/>
      <c r="N827" s="231"/>
      <c r="O827" s="448"/>
      <c r="P827" s="448"/>
      <c r="Q827" s="448"/>
      <c r="R827" s="448"/>
      <c r="S827" s="448"/>
      <c r="T827" s="449"/>
      <c r="U827" s="448"/>
    </row>
    <row r="828" spans="1:21" s="232" customFormat="1" ht="20.100000000000001" customHeight="1" x14ac:dyDescent="0.2">
      <c r="A828" s="990" t="e">
        <f>IF(A827="","",VLOOKUP(A827,liste!$A$9:$G$145,2,FALSE))</f>
        <v>#N/A</v>
      </c>
      <c r="B828" s="991" t="e">
        <v>#N/A</v>
      </c>
      <c r="C828" s="991" t="e">
        <v>#N/A</v>
      </c>
      <c r="D828" s="447"/>
      <c r="E828" s="447"/>
      <c r="F828" s="447"/>
      <c r="G828" s="447"/>
      <c r="H828" s="447"/>
      <c r="I828" s="447"/>
      <c r="J828" s="447"/>
      <c r="K828" s="425"/>
      <c r="L828" s="990" t="str">
        <f>IF(L827="","",VLOOKUP(L827,liste!$A$9:$G$145,2,FALSE))</f>
        <v/>
      </c>
      <c r="M828" s="991" t="s">
        <v>288</v>
      </c>
      <c r="N828" s="991" t="s">
        <v>288</v>
      </c>
      <c r="O828" s="447"/>
      <c r="P828" s="447"/>
      <c r="Q828" s="447"/>
      <c r="R828" s="447"/>
      <c r="S828" s="447"/>
      <c r="T828" s="428"/>
      <c r="U828" s="447"/>
    </row>
    <row r="829" spans="1:21" s="232" customFormat="1" ht="20.100000000000001" customHeight="1" x14ac:dyDescent="0.2">
      <c r="A829" s="425"/>
      <c r="B829" s="231"/>
      <c r="C829" s="460" t="e">
        <f>IF(A827="","",VLOOKUP(A827,liste!$A$9:$G$145,4,FALSE))</f>
        <v>#N/A</v>
      </c>
      <c r="D829" s="451"/>
      <c r="E829" s="451"/>
      <c r="F829" s="451"/>
      <c r="G829" s="451"/>
      <c r="H829" s="451"/>
      <c r="I829" s="451"/>
      <c r="J829" s="451"/>
      <c r="K829" s="425"/>
      <c r="L829" s="425"/>
      <c r="M829" s="231"/>
      <c r="N829" s="460" t="str">
        <f>IF(L827="","",VLOOKUP(L827,liste!$A$9:$G$145,4,FALSE))</f>
        <v/>
      </c>
      <c r="O829" s="451"/>
      <c r="P829" s="451"/>
      <c r="Q829" s="451"/>
      <c r="R829" s="451"/>
      <c r="S829" s="451"/>
      <c r="T829" s="452"/>
      <c r="U829" s="451"/>
    </row>
    <row r="830" spans="1:21" s="232" customFormat="1" ht="15.75" x14ac:dyDescent="0.2">
      <c r="A830" s="453" t="e">
        <f>IF(A827="","",VLOOKUP(A827,liste!$A$9:$G$145,3,FALSE))</f>
        <v>#N/A</v>
      </c>
      <c r="B830" s="231"/>
      <c r="C830" s="231"/>
      <c r="D830" s="455"/>
      <c r="E830" s="455"/>
      <c r="F830" s="455"/>
      <c r="G830" s="455"/>
      <c r="H830" s="455"/>
      <c r="I830" s="455"/>
      <c r="J830" s="455"/>
      <c r="K830" s="425"/>
      <c r="L830" s="453" t="str">
        <f>IF(L827="","",VLOOKUP(L827,liste!$A$9:$G$145,3,FALSE))</f>
        <v/>
      </c>
      <c r="M830" s="231"/>
      <c r="N830" s="231"/>
      <c r="O830" s="454"/>
      <c r="P830" s="454"/>
      <c r="Q830" s="454"/>
      <c r="R830" s="454"/>
      <c r="S830" s="454"/>
      <c r="T830" s="456"/>
      <c r="U830" s="454"/>
    </row>
    <row r="831" spans="1:21" s="232" customFormat="1" ht="12.75" x14ac:dyDescent="0.2">
      <c r="A831" s="425"/>
      <c r="B831" s="231"/>
      <c r="C831" s="231"/>
      <c r="D831" s="458"/>
      <c r="E831" s="458"/>
      <c r="F831" s="458"/>
      <c r="G831" s="458"/>
      <c r="H831" s="458"/>
      <c r="I831" s="458"/>
      <c r="J831" s="458"/>
      <c r="K831" s="425"/>
      <c r="L831" s="425"/>
      <c r="M831" s="231"/>
      <c r="N831" s="231"/>
      <c r="O831" s="457"/>
      <c r="P831" s="457"/>
      <c r="Q831" s="457"/>
      <c r="R831" s="457"/>
      <c r="S831" s="457"/>
      <c r="T831" s="459"/>
      <c r="U831" s="457"/>
    </row>
    <row r="832" spans="1:21" s="232" customFormat="1" ht="12.75" x14ac:dyDescent="0.2">
      <c r="A832" s="425"/>
      <c r="B832" s="231"/>
      <c r="C832" s="231"/>
      <c r="D832" s="231"/>
      <c r="E832" s="231"/>
      <c r="F832" s="231"/>
      <c r="G832" s="231"/>
      <c r="H832" s="231"/>
      <c r="I832" s="231"/>
      <c r="J832" s="428"/>
      <c r="K832" s="425"/>
      <c r="L832" s="425"/>
      <c r="M832" s="231"/>
      <c r="N832" s="231"/>
      <c r="O832" s="231"/>
      <c r="P832" s="231"/>
      <c r="Q832" s="231"/>
      <c r="R832" s="231"/>
      <c r="S832" s="231"/>
      <c r="T832" s="231"/>
      <c r="U832" s="428"/>
    </row>
    <row r="833" spans="1:29" s="232" customFormat="1" ht="20.100000000000001" customHeight="1" x14ac:dyDescent="0.2">
      <c r="A833" s="988" t="s">
        <v>90</v>
      </c>
      <c r="B833" s="989"/>
      <c r="C833" s="989"/>
      <c r="D833" s="461" t="s">
        <v>77</v>
      </c>
      <c r="E833" s="461" t="s">
        <v>87</v>
      </c>
      <c r="F833" s="461" t="s">
        <v>88</v>
      </c>
      <c r="G833" s="231"/>
      <c r="H833" s="231"/>
      <c r="I833" s="231"/>
      <c r="J833" s="428"/>
      <c r="K833" s="425"/>
      <c r="L833" s="988" t="s">
        <v>90</v>
      </c>
      <c r="M833" s="989"/>
      <c r="N833" s="989"/>
      <c r="O833" s="461" t="s">
        <v>77</v>
      </c>
      <c r="P833" s="461" t="s">
        <v>87</v>
      </c>
      <c r="Q833" s="461" t="s">
        <v>88</v>
      </c>
      <c r="R833" s="231"/>
      <c r="S833" s="231"/>
      <c r="T833" s="231"/>
      <c r="U833" s="428"/>
    </row>
    <row r="834" spans="1:29" s="232" customFormat="1" ht="20.100000000000001" customHeight="1" x14ac:dyDescent="0.2">
      <c r="A834" s="462" t="e">
        <f>A823</f>
        <v>#N/A</v>
      </c>
      <c r="B834" s="426"/>
      <c r="C834" s="449"/>
      <c r="D834" s="448"/>
      <c r="E834" s="448"/>
      <c r="F834" s="448"/>
      <c r="G834" s="231"/>
      <c r="H834" s="231"/>
      <c r="I834" s="231"/>
      <c r="J834" s="428"/>
      <c r="K834" s="425"/>
      <c r="L834" s="462" t="str">
        <f>L823</f>
        <v/>
      </c>
      <c r="M834" s="426"/>
      <c r="N834" s="449"/>
      <c r="O834" s="448"/>
      <c r="P834" s="448"/>
      <c r="Q834" s="448"/>
      <c r="R834" s="231"/>
      <c r="S834" s="231"/>
      <c r="T834" s="231"/>
      <c r="U834" s="428"/>
    </row>
    <row r="835" spans="1:29" s="232" customFormat="1" ht="20.100000000000001" customHeight="1" x14ac:dyDescent="0.2">
      <c r="A835" s="463"/>
      <c r="B835" s="233"/>
      <c r="C835" s="452"/>
      <c r="D835" s="451"/>
      <c r="E835" s="451"/>
      <c r="F835" s="451"/>
      <c r="G835" s="231"/>
      <c r="H835" s="231"/>
      <c r="I835" s="231"/>
      <c r="J835" s="428"/>
      <c r="K835" s="425"/>
      <c r="L835" s="463"/>
      <c r="M835" s="233"/>
      <c r="N835" s="452"/>
      <c r="O835" s="451"/>
      <c r="P835" s="451"/>
      <c r="Q835" s="451"/>
      <c r="R835" s="231"/>
      <c r="S835" s="231"/>
      <c r="T835" s="231"/>
      <c r="U835" s="428"/>
      <c r="AC835" s="478"/>
    </row>
    <row r="836" spans="1:29" s="232" customFormat="1" ht="20.100000000000001" customHeight="1" x14ac:dyDescent="0.2">
      <c r="A836" s="462" t="e">
        <f>A828</f>
        <v>#N/A</v>
      </c>
      <c r="B836" s="426"/>
      <c r="C836" s="449"/>
      <c r="D836" s="448"/>
      <c r="E836" s="448"/>
      <c r="F836" s="448"/>
      <c r="G836" s="231"/>
      <c r="H836" s="231"/>
      <c r="I836" s="231"/>
      <c r="J836" s="428"/>
      <c r="K836" s="425"/>
      <c r="L836" s="462" t="str">
        <f>L828</f>
        <v/>
      </c>
      <c r="M836" s="426"/>
      <c r="N836" s="449"/>
      <c r="O836" s="448"/>
      <c r="P836" s="448"/>
      <c r="Q836" s="448"/>
      <c r="R836" s="231"/>
      <c r="S836" s="231"/>
      <c r="T836" s="231"/>
      <c r="U836" s="428"/>
    </row>
    <row r="837" spans="1:29" s="232" customFormat="1" ht="20.100000000000001" customHeight="1" x14ac:dyDescent="0.2">
      <c r="A837" s="463"/>
      <c r="B837" s="233"/>
      <c r="C837" s="452"/>
      <c r="D837" s="451"/>
      <c r="E837" s="451"/>
      <c r="F837" s="451"/>
      <c r="G837" s="231"/>
      <c r="H837" s="231"/>
      <c r="I837" s="231"/>
      <c r="J837" s="428"/>
      <c r="K837" s="425"/>
      <c r="L837" s="463"/>
      <c r="M837" s="233"/>
      <c r="N837" s="452"/>
      <c r="O837" s="451"/>
      <c r="P837" s="451"/>
      <c r="Q837" s="451"/>
      <c r="R837" s="231"/>
      <c r="S837" s="231"/>
      <c r="T837" s="231"/>
      <c r="U837" s="428"/>
    </row>
    <row r="838" spans="1:29" s="232" customFormat="1" ht="12.75" x14ac:dyDescent="0.2">
      <c r="A838" s="464" t="s">
        <v>91</v>
      </c>
      <c r="B838" s="231"/>
      <c r="C838" s="231"/>
      <c r="D838" s="231"/>
      <c r="E838" s="231"/>
      <c r="F838" s="231"/>
      <c r="G838" s="231"/>
      <c r="H838" s="231"/>
      <c r="I838" s="231"/>
      <c r="J838" s="428"/>
      <c r="K838" s="425"/>
      <c r="L838" s="464" t="s">
        <v>91</v>
      </c>
      <c r="M838" s="231"/>
      <c r="N838" s="231"/>
      <c r="O838" s="231"/>
      <c r="P838" s="231"/>
      <c r="Q838" s="231"/>
      <c r="R838" s="231"/>
      <c r="S838" s="231"/>
      <c r="T838" s="231"/>
      <c r="U838" s="428"/>
    </row>
    <row r="839" spans="1:29" s="232" customFormat="1" ht="12.75" x14ac:dyDescent="0.2">
      <c r="A839" s="425"/>
      <c r="B839" s="231"/>
      <c r="C839" s="231"/>
      <c r="D839" s="231"/>
      <c r="E839" s="231"/>
      <c r="F839" s="231"/>
      <c r="G839" s="231"/>
      <c r="H839" s="231"/>
      <c r="I839" s="231"/>
      <c r="J839" s="428"/>
      <c r="K839" s="425"/>
      <c r="L839" s="425"/>
      <c r="M839" s="231"/>
      <c r="N839" s="231"/>
      <c r="O839" s="231"/>
      <c r="P839" s="231"/>
      <c r="Q839" s="231"/>
      <c r="R839" s="231"/>
      <c r="S839" s="231"/>
      <c r="T839" s="231"/>
      <c r="U839" s="428"/>
    </row>
    <row r="840" spans="1:29" s="232" customFormat="1" ht="12.75" x14ac:dyDescent="0.2">
      <c r="A840" s="465" t="s">
        <v>89</v>
      </c>
      <c r="B840" s="233"/>
      <c r="C840" s="233"/>
      <c r="D840" s="233"/>
      <c r="E840" s="233"/>
      <c r="F840" s="233"/>
      <c r="G840" s="233"/>
      <c r="H840" s="233"/>
      <c r="I840" s="233"/>
      <c r="J840" s="452"/>
      <c r="K840" s="425"/>
      <c r="L840" s="465" t="s">
        <v>89</v>
      </c>
      <c r="M840" s="233"/>
      <c r="N840" s="233"/>
      <c r="O840" s="233"/>
      <c r="P840" s="233"/>
      <c r="Q840" s="233"/>
      <c r="R840" s="233"/>
      <c r="S840" s="233"/>
      <c r="T840" s="233"/>
      <c r="U840" s="452"/>
    </row>
    <row r="841" spans="1:29" s="232" customFormat="1" ht="30" customHeight="1" x14ac:dyDescent="0.2"/>
    <row r="842" spans="1:29" s="232" customFormat="1" ht="30" customHeight="1" x14ac:dyDescent="0.2"/>
    <row r="843" spans="1:29" s="232" customFormat="1" ht="20.100000000000001" customHeight="1" x14ac:dyDescent="0.2">
      <c r="A843" s="1005" t="str">
        <f>$A$1</f>
        <v>Circuit décathlon</v>
      </c>
      <c r="B843" s="1006"/>
      <c r="C843" s="1006"/>
      <c r="D843" s="1006"/>
      <c r="E843" s="1006"/>
      <c r="F843" s="1006"/>
      <c r="G843" s="1006"/>
      <c r="H843" s="1006"/>
      <c r="I843" s="1006"/>
      <c r="J843" s="1007"/>
      <c r="K843" s="425"/>
      <c r="L843" s="1005" t="str">
        <f>$A$1</f>
        <v>Circuit décathlon</v>
      </c>
      <c r="M843" s="1006"/>
      <c r="N843" s="1006"/>
      <c r="O843" s="1006"/>
      <c r="P843" s="1006"/>
      <c r="Q843" s="1006"/>
      <c r="R843" s="1006"/>
      <c r="S843" s="1006"/>
      <c r="T843" s="426"/>
      <c r="U843" s="449"/>
    </row>
    <row r="844" spans="1:29" s="232" customFormat="1" ht="15.75" x14ac:dyDescent="0.2">
      <c r="A844" s="425"/>
      <c r="B844" s="231"/>
      <c r="C844" s="231"/>
      <c r="D844" s="427" t="s">
        <v>83</v>
      </c>
      <c r="E844" s="474">
        <f>Rens!F57</f>
        <v>0</v>
      </c>
      <c r="F844" s="474"/>
      <c r="G844" s="231"/>
      <c r="H844" s="231"/>
      <c r="I844" s="231"/>
      <c r="J844" s="428"/>
      <c r="K844" s="425"/>
      <c r="L844" s="425"/>
      <c r="M844" s="231"/>
      <c r="N844" s="231"/>
      <c r="O844" s="427" t="s">
        <v>83</v>
      </c>
      <c r="P844" s="474">
        <f>Rens!F58</f>
        <v>0</v>
      </c>
      <c r="Q844" s="474"/>
      <c r="R844" s="231"/>
      <c r="S844" s="231"/>
      <c r="T844" s="231"/>
      <c r="U844" s="428"/>
    </row>
    <row r="845" spans="1:29" s="343" customFormat="1" ht="18.75" x14ac:dyDescent="0.2">
      <c r="A845" s="429" t="s">
        <v>84</v>
      </c>
      <c r="B845" s="430" t="str">
        <f>$B$3</f>
        <v>Minimes</v>
      </c>
      <c r="C845" s="345"/>
      <c r="D845" s="345"/>
      <c r="E845" s="345"/>
      <c r="F845" s="345"/>
      <c r="G845" s="345"/>
      <c r="H845" s="345"/>
      <c r="I845" s="345"/>
      <c r="J845" s="431"/>
      <c r="K845" s="432"/>
      <c r="L845" s="429" t="s">
        <v>84</v>
      </c>
      <c r="M845" s="430" t="str">
        <f>$B$3</f>
        <v>Minimes</v>
      </c>
      <c r="N845" s="345"/>
      <c r="O845" s="345"/>
      <c r="P845" s="345"/>
      <c r="Q845" s="345"/>
      <c r="R845" s="345"/>
      <c r="S845" s="345"/>
      <c r="T845" s="345"/>
      <c r="U845" s="431"/>
    </row>
    <row r="846" spans="1:29" s="343" customFormat="1" ht="18.75" x14ac:dyDescent="0.2">
      <c r="A846" s="997" t="s">
        <v>255</v>
      </c>
      <c r="B846" s="998"/>
      <c r="C846" s="998"/>
      <c r="D846" s="998"/>
      <c r="E846" s="345"/>
      <c r="F846" s="345"/>
      <c r="G846" s="430"/>
      <c r="H846" s="430"/>
      <c r="I846" s="345"/>
      <c r="J846" s="431"/>
      <c r="K846" s="432"/>
      <c r="L846" s="997" t="s">
        <v>256</v>
      </c>
      <c r="M846" s="998"/>
      <c r="N846" s="998"/>
      <c r="O846" s="998"/>
      <c r="P846" s="345"/>
      <c r="Q846" s="345"/>
      <c r="R846" s="466"/>
      <c r="S846" s="430"/>
      <c r="T846" s="466"/>
      <c r="U846" s="433"/>
    </row>
    <row r="847" spans="1:29" s="343" customFormat="1" ht="23.25" x14ac:dyDescent="0.2">
      <c r="A847" s="432"/>
      <c r="B847" s="434" t="str">
        <f>Tableau!AB38</f>
        <v/>
      </c>
      <c r="C847" s="345"/>
      <c r="D847" s="345"/>
      <c r="E847" s="344" t="s">
        <v>178</v>
      </c>
      <c r="F847" s="234">
        <f>Rens!G57</f>
        <v>0</v>
      </c>
      <c r="G847" s="345"/>
      <c r="H847" s="345"/>
      <c r="I847" s="345"/>
      <c r="J847" s="431"/>
      <c r="K847" s="432"/>
      <c r="L847" s="432"/>
      <c r="M847" s="434" t="str">
        <f>Tableau!AB30</f>
        <v/>
      </c>
      <c r="N847" s="345"/>
      <c r="O847" s="345"/>
      <c r="P847" s="344" t="s">
        <v>178</v>
      </c>
      <c r="Q847" s="479">
        <f>Rens!G58</f>
        <v>0</v>
      </c>
      <c r="R847" s="345"/>
      <c r="S847" s="345"/>
      <c r="T847" s="345"/>
      <c r="U847" s="431"/>
    </row>
    <row r="848" spans="1:29" s="442" customFormat="1" ht="15.75" x14ac:dyDescent="0.2">
      <c r="A848" s="435" t="s">
        <v>85</v>
      </c>
      <c r="B848" s="436" t="str">
        <f>IF(B847="","",VLOOKUP(B847,liste!$A$9:$G$145,2,FALSE))</f>
        <v/>
      </c>
      <c r="C848" s="437"/>
      <c r="D848" s="437"/>
      <c r="E848" s="437"/>
      <c r="F848" s="437"/>
      <c r="G848" s="437"/>
      <c r="H848" s="437"/>
      <c r="I848" s="438"/>
      <c r="J848" s="439"/>
      <c r="K848" s="440"/>
      <c r="L848" s="435" t="s">
        <v>85</v>
      </c>
      <c r="M848" s="436" t="str">
        <f>IF(M847="","",VLOOKUP(M847,liste!$A$9:$G$145,2,FALSE))</f>
        <v/>
      </c>
      <c r="N848" s="437"/>
      <c r="O848" s="437"/>
      <c r="P848" s="437"/>
      <c r="Q848" s="437"/>
      <c r="R848" s="437"/>
      <c r="S848" s="437"/>
      <c r="T848" s="437"/>
      <c r="U848" s="441"/>
    </row>
    <row r="849" spans="1:21" s="232" customFormat="1" ht="20.100000000000001" customHeight="1" x14ac:dyDescent="0.2">
      <c r="A849" s="425"/>
      <c r="D849" s="999" t="s">
        <v>19</v>
      </c>
      <c r="E849" s="1000"/>
      <c r="F849" s="1000"/>
      <c r="G849" s="1000"/>
      <c r="H849" s="1000"/>
      <c r="I849" s="1000"/>
      <c r="J849" s="1001"/>
      <c r="K849" s="425"/>
      <c r="L849" s="443"/>
      <c r="M849" s="444"/>
      <c r="N849" s="444"/>
      <c r="O849" s="1002" t="s">
        <v>19</v>
      </c>
      <c r="P849" s="1003"/>
      <c r="Q849" s="1003"/>
      <c r="R849" s="1003"/>
      <c r="S849" s="1003"/>
      <c r="T849" s="1003"/>
      <c r="U849" s="1004"/>
    </row>
    <row r="850" spans="1:21" s="232" customFormat="1" ht="20.100000000000001" customHeight="1" x14ac:dyDescent="0.2">
      <c r="A850" s="992" t="s">
        <v>86</v>
      </c>
      <c r="B850" s="993"/>
      <c r="C850" s="993"/>
      <c r="D850" s="467">
        <v>1</v>
      </c>
      <c r="E850" s="467">
        <v>2</v>
      </c>
      <c r="F850" s="467">
        <v>3</v>
      </c>
      <c r="G850" s="467">
        <v>4</v>
      </c>
      <c r="H850" s="467">
        <v>5</v>
      </c>
      <c r="I850" s="467">
        <v>6</v>
      </c>
      <c r="J850" s="467">
        <v>7</v>
      </c>
      <c r="K850" s="425"/>
      <c r="L850" s="992" t="s">
        <v>86</v>
      </c>
      <c r="M850" s="993"/>
      <c r="N850" s="993"/>
      <c r="O850" s="445">
        <v>1</v>
      </c>
      <c r="P850" s="445">
        <v>2</v>
      </c>
      <c r="Q850" s="445">
        <v>3</v>
      </c>
      <c r="R850" s="445">
        <v>4</v>
      </c>
      <c r="S850" s="446">
        <v>5</v>
      </c>
      <c r="T850" s="497">
        <v>6</v>
      </c>
      <c r="U850" s="446">
        <v>7</v>
      </c>
    </row>
    <row r="851" spans="1:21" s="232" customFormat="1" ht="20.100000000000001" customHeight="1" x14ac:dyDescent="0.2">
      <c r="A851" s="500"/>
      <c r="B851" s="501"/>
      <c r="C851" s="501"/>
      <c r="D851" s="994" t="s">
        <v>92</v>
      </c>
      <c r="E851" s="995"/>
      <c r="F851" s="995"/>
      <c r="G851" s="995"/>
      <c r="H851" s="995"/>
      <c r="I851" s="995"/>
      <c r="J851" s="996"/>
      <c r="K851" s="425"/>
      <c r="L851" s="500"/>
      <c r="M851" s="501"/>
      <c r="N851" s="501"/>
      <c r="O851" s="994" t="s">
        <v>92</v>
      </c>
      <c r="P851" s="995"/>
      <c r="Q851" s="995"/>
      <c r="R851" s="995"/>
      <c r="S851" s="995"/>
      <c r="T851" s="995"/>
      <c r="U851" s="996"/>
    </row>
    <row r="852" spans="1:21" s="232" customFormat="1" ht="18.75" x14ac:dyDescent="0.2">
      <c r="A852" s="498">
        <f>Tableau!Q66</f>
        <v>0</v>
      </c>
      <c r="C852" s="231"/>
      <c r="D852" s="448"/>
      <c r="E852" s="448"/>
      <c r="F852" s="448"/>
      <c r="G852" s="448"/>
      <c r="H852" s="448"/>
      <c r="I852" s="448"/>
      <c r="J852" s="448"/>
      <c r="K852" s="425"/>
      <c r="L852" s="498" t="str">
        <f>Tableau!F66</f>
        <v/>
      </c>
      <c r="M852" s="231"/>
      <c r="N852" s="231"/>
      <c r="O852" s="448"/>
      <c r="P852" s="448"/>
      <c r="Q852" s="448"/>
      <c r="R852" s="448"/>
      <c r="S852" s="448"/>
      <c r="T852" s="449"/>
      <c r="U852" s="448"/>
    </row>
    <row r="853" spans="1:21" s="232" customFormat="1" ht="20.100000000000001" customHeight="1" x14ac:dyDescent="0.2">
      <c r="A853" s="990" t="e">
        <f>IF(A852="","",VLOOKUP(A852,liste!$A$9:$G$145,2,FALSE))</f>
        <v>#N/A</v>
      </c>
      <c r="B853" s="991" t="e">
        <v>#N/A</v>
      </c>
      <c r="C853" s="991" t="e">
        <v>#N/A</v>
      </c>
      <c r="D853" s="447"/>
      <c r="E853" s="447"/>
      <c r="F853" s="447"/>
      <c r="G853" s="447"/>
      <c r="H853" s="447"/>
      <c r="I853" s="447"/>
      <c r="J853" s="447"/>
      <c r="K853" s="425"/>
      <c r="L853" s="990" t="str">
        <f>IF(L852="","",VLOOKUP(L852,liste!$A$9:$G$145,2,FALSE))</f>
        <v/>
      </c>
      <c r="M853" s="991" t="s">
        <v>288</v>
      </c>
      <c r="N853" s="991" t="s">
        <v>288</v>
      </c>
      <c r="O853" s="447"/>
      <c r="P853" s="447"/>
      <c r="Q853" s="447"/>
      <c r="R853" s="447"/>
      <c r="S853" s="447"/>
      <c r="T853" s="428"/>
      <c r="U853" s="447"/>
    </row>
    <row r="854" spans="1:21" s="232" customFormat="1" ht="20.100000000000001" customHeight="1" x14ac:dyDescent="0.2">
      <c r="A854" s="440"/>
      <c r="B854" s="438"/>
      <c r="C854" s="450" t="e">
        <f>IF(A852="","",VLOOKUP(A852,liste!$A$9:$G$145,4,FALSE))</f>
        <v>#N/A</v>
      </c>
      <c r="D854" s="451"/>
      <c r="E854" s="451"/>
      <c r="F854" s="451"/>
      <c r="G854" s="451"/>
      <c r="H854" s="451"/>
      <c r="I854" s="451"/>
      <c r="J854" s="451"/>
      <c r="K854" s="425"/>
      <c r="L854" s="440"/>
      <c r="M854" s="438"/>
      <c r="N854" s="450" t="str">
        <f>IF(L852="","",VLOOKUP(L852,liste!$A$9:$G$145,4,FALSE))</f>
        <v/>
      </c>
      <c r="O854" s="451"/>
      <c r="P854" s="451"/>
      <c r="Q854" s="451"/>
      <c r="R854" s="451"/>
      <c r="S854" s="451"/>
      <c r="T854" s="452"/>
      <c r="U854" s="451"/>
    </row>
    <row r="855" spans="1:21" s="232" customFormat="1" ht="15.75" x14ac:dyDescent="0.2">
      <c r="A855" s="468" t="e">
        <f>IF(A852="","",VLOOKUP(A852,liste!$A$9:$G$145,3,FALSE))</f>
        <v>#N/A</v>
      </c>
      <c r="B855" s="438"/>
      <c r="C855" s="438"/>
      <c r="D855" s="455"/>
      <c r="E855" s="455"/>
      <c r="F855" s="455"/>
      <c r="G855" s="455"/>
      <c r="H855" s="455"/>
      <c r="I855" s="455"/>
      <c r="J855" s="455"/>
      <c r="K855" s="425"/>
      <c r="L855" s="468" t="str">
        <f>IF(L852="","",VLOOKUP(L852,liste!$A$9:$G$145,3,FALSE))</f>
        <v/>
      </c>
      <c r="M855" s="438"/>
      <c r="N855" s="438"/>
      <c r="O855" s="454"/>
      <c r="P855" s="454"/>
      <c r="Q855" s="454"/>
      <c r="R855" s="454"/>
      <c r="S855" s="454"/>
      <c r="T855" s="456"/>
      <c r="U855" s="454"/>
    </row>
    <row r="856" spans="1:21" s="232" customFormat="1" ht="12.75" x14ac:dyDescent="0.2">
      <c r="A856" s="425"/>
      <c r="B856" s="230" t="s">
        <v>9</v>
      </c>
      <c r="C856" s="231"/>
      <c r="D856" s="458"/>
      <c r="E856" s="458"/>
      <c r="F856" s="458"/>
      <c r="G856" s="458"/>
      <c r="H856" s="458"/>
      <c r="I856" s="458"/>
      <c r="J856" s="458"/>
      <c r="K856" s="425"/>
      <c r="L856" s="425"/>
      <c r="M856" s="230" t="s">
        <v>9</v>
      </c>
      <c r="N856" s="231"/>
      <c r="O856" s="457"/>
      <c r="P856" s="457"/>
      <c r="Q856" s="457"/>
      <c r="R856" s="457"/>
      <c r="S856" s="457"/>
      <c r="T856" s="459"/>
      <c r="U856" s="457"/>
    </row>
    <row r="857" spans="1:21" s="232" customFormat="1" ht="18.75" x14ac:dyDescent="0.2">
      <c r="A857" s="498">
        <f>Tableau!Q70</f>
        <v>0</v>
      </c>
      <c r="B857" s="469"/>
      <c r="C857" s="231"/>
      <c r="D857" s="448"/>
      <c r="E857" s="448"/>
      <c r="F857" s="448"/>
      <c r="G857" s="448"/>
      <c r="H857" s="448"/>
      <c r="I857" s="448"/>
      <c r="J857" s="448"/>
      <c r="K857" s="425"/>
      <c r="L857" s="498" t="str">
        <f>Tableau!F70</f>
        <v/>
      </c>
      <c r="M857" s="231"/>
      <c r="N857" s="231"/>
      <c r="O857" s="448"/>
      <c r="P857" s="448"/>
      <c r="Q857" s="448"/>
      <c r="R857" s="448"/>
      <c r="S857" s="448"/>
      <c r="T857" s="449"/>
      <c r="U857" s="448"/>
    </row>
    <row r="858" spans="1:21" s="232" customFormat="1" ht="20.100000000000001" customHeight="1" x14ac:dyDescent="0.2">
      <c r="A858" s="990" t="e">
        <f>IF(A857="","",VLOOKUP(A857,liste!$A$9:$G$145,2,FALSE))</f>
        <v>#N/A</v>
      </c>
      <c r="B858" s="991" t="e">
        <v>#N/A</v>
      </c>
      <c r="C858" s="991" t="e">
        <v>#N/A</v>
      </c>
      <c r="D858" s="447"/>
      <c r="E858" s="447"/>
      <c r="F858" s="447"/>
      <c r="G858" s="447"/>
      <c r="H858" s="447"/>
      <c r="I858" s="447"/>
      <c r="J858" s="447"/>
      <c r="K858" s="425"/>
      <c r="L858" s="990" t="str">
        <f>IF(L857="","",VLOOKUP(L857,liste!$A$9:$G$145,2,FALSE))</f>
        <v/>
      </c>
      <c r="M858" s="991" t="s">
        <v>288</v>
      </c>
      <c r="N858" s="991" t="s">
        <v>288</v>
      </c>
      <c r="O858" s="447"/>
      <c r="P858" s="447"/>
      <c r="Q858" s="447"/>
      <c r="R858" s="447"/>
      <c r="S858" s="447"/>
      <c r="T858" s="428"/>
      <c r="U858" s="447"/>
    </row>
    <row r="859" spans="1:21" s="232" customFormat="1" ht="20.100000000000001" customHeight="1" x14ac:dyDescent="0.2">
      <c r="A859" s="440"/>
      <c r="B859" s="438"/>
      <c r="C859" s="450" t="e">
        <f>IF(A857="","",VLOOKUP(A857,liste!$A$9:$G$145,4,FALSE))</f>
        <v>#N/A</v>
      </c>
      <c r="D859" s="451"/>
      <c r="E859" s="451"/>
      <c r="F859" s="451"/>
      <c r="G859" s="451"/>
      <c r="H859" s="451"/>
      <c r="I859" s="451"/>
      <c r="J859" s="451"/>
      <c r="K859" s="425"/>
      <c r="L859" s="440"/>
      <c r="M859" s="438"/>
      <c r="N859" s="450" t="str">
        <f>IF(L857="","",VLOOKUP(L857,liste!$A$9:$G$145,4,FALSE))</f>
        <v/>
      </c>
      <c r="O859" s="451"/>
      <c r="P859" s="451"/>
      <c r="Q859" s="451"/>
      <c r="R859" s="451"/>
      <c r="S859" s="451"/>
      <c r="T859" s="452"/>
      <c r="U859" s="451"/>
    </row>
    <row r="860" spans="1:21" s="232" customFormat="1" ht="15.75" x14ac:dyDescent="0.2">
      <c r="A860" s="473" t="e">
        <f>IF(A857="","",VLOOKUP(A857,liste!$A$9:$G$145,3,FALSE))</f>
        <v>#N/A</v>
      </c>
      <c r="B860" s="438"/>
      <c r="C860" s="438"/>
      <c r="D860" s="455"/>
      <c r="E860" s="455"/>
      <c r="F860" s="455"/>
      <c r="G860" s="455"/>
      <c r="H860" s="455"/>
      <c r="I860" s="455"/>
      <c r="J860" s="455"/>
      <c r="K860" s="425"/>
      <c r="L860" s="468" t="str">
        <f>IF(L857="","",VLOOKUP(L857,liste!$A$9:$G$145,3,FALSE))</f>
        <v/>
      </c>
      <c r="M860" s="438"/>
      <c r="N860" s="438"/>
      <c r="O860" s="454"/>
      <c r="P860" s="454"/>
      <c r="Q860" s="454"/>
      <c r="R860" s="454"/>
      <c r="S860" s="454"/>
      <c r="T860" s="456"/>
      <c r="U860" s="454"/>
    </row>
    <row r="861" spans="1:21" s="232" customFormat="1" ht="12.75" x14ac:dyDescent="0.2">
      <c r="A861" s="425"/>
      <c r="B861" s="231"/>
      <c r="C861" s="231"/>
      <c r="D861" s="458"/>
      <c r="E861" s="458"/>
      <c r="F861" s="458"/>
      <c r="G861" s="458"/>
      <c r="H861" s="458"/>
      <c r="I861" s="458"/>
      <c r="J861" s="458"/>
      <c r="K861" s="425"/>
      <c r="L861" s="425"/>
      <c r="M861" s="231"/>
      <c r="N861" s="231"/>
      <c r="O861" s="457"/>
      <c r="P861" s="457"/>
      <c r="Q861" s="457"/>
      <c r="R861" s="457"/>
      <c r="S861" s="457"/>
      <c r="T861" s="459"/>
      <c r="U861" s="457"/>
    </row>
    <row r="862" spans="1:21" s="232" customFormat="1" ht="12.75" x14ac:dyDescent="0.2">
      <c r="A862" s="425"/>
      <c r="B862" s="231"/>
      <c r="C862" s="231"/>
      <c r="D862" s="231"/>
      <c r="E862" s="231"/>
      <c r="F862" s="231"/>
      <c r="G862" s="231"/>
      <c r="H862" s="231"/>
      <c r="I862" s="231"/>
      <c r="J862" s="428"/>
      <c r="K862" s="425"/>
      <c r="L862" s="425"/>
      <c r="M862" s="231"/>
      <c r="N862" s="231"/>
      <c r="O862" s="231"/>
      <c r="P862" s="231"/>
      <c r="Q862" s="231"/>
      <c r="R862" s="231"/>
      <c r="S862" s="231"/>
      <c r="T862" s="231"/>
      <c r="U862" s="428"/>
    </row>
    <row r="863" spans="1:21" s="232" customFormat="1" ht="20.100000000000001" customHeight="1" x14ac:dyDescent="0.2">
      <c r="A863" s="988" t="s">
        <v>90</v>
      </c>
      <c r="B863" s="989"/>
      <c r="C863" s="989"/>
      <c r="D863" s="461" t="s">
        <v>77</v>
      </c>
      <c r="E863" s="461" t="s">
        <v>87</v>
      </c>
      <c r="F863" s="461" t="s">
        <v>88</v>
      </c>
      <c r="G863" s="231"/>
      <c r="H863" s="231"/>
      <c r="I863" s="231"/>
      <c r="J863" s="428"/>
      <c r="K863" s="425"/>
      <c r="L863" s="988" t="s">
        <v>90</v>
      </c>
      <c r="M863" s="989"/>
      <c r="N863" s="989"/>
      <c r="O863" s="461" t="s">
        <v>77</v>
      </c>
      <c r="P863" s="461" t="s">
        <v>87</v>
      </c>
      <c r="Q863" s="461" t="s">
        <v>88</v>
      </c>
      <c r="R863" s="231"/>
      <c r="S863" s="231"/>
      <c r="T863" s="231"/>
      <c r="U863" s="428"/>
    </row>
    <row r="864" spans="1:21" s="232" customFormat="1" ht="20.100000000000001" customHeight="1" x14ac:dyDescent="0.2">
      <c r="A864" s="462" t="e">
        <f>A853</f>
        <v>#N/A</v>
      </c>
      <c r="B864" s="426"/>
      <c r="C864" s="449"/>
      <c r="D864" s="448"/>
      <c r="E864" s="448"/>
      <c r="F864" s="448"/>
      <c r="G864" s="231"/>
      <c r="H864" s="231"/>
      <c r="I864" s="231"/>
      <c r="J864" s="428"/>
      <c r="K864" s="425"/>
      <c r="L864" s="462" t="str">
        <f>L853</f>
        <v/>
      </c>
      <c r="M864" s="426"/>
      <c r="N864" s="449"/>
      <c r="O864" s="448"/>
      <c r="P864" s="448"/>
      <c r="Q864" s="448"/>
      <c r="R864" s="231"/>
      <c r="S864" s="231"/>
      <c r="T864" s="231"/>
      <c r="U864" s="428"/>
    </row>
    <row r="865" spans="1:21" s="232" customFormat="1" ht="20.100000000000001" customHeight="1" x14ac:dyDescent="0.2">
      <c r="A865" s="463"/>
      <c r="B865" s="233"/>
      <c r="C865" s="452"/>
      <c r="D865" s="451"/>
      <c r="E865" s="451"/>
      <c r="F865" s="451"/>
      <c r="G865" s="231"/>
      <c r="H865" s="231"/>
      <c r="I865" s="231"/>
      <c r="J865" s="428"/>
      <c r="K865" s="425"/>
      <c r="L865" s="463"/>
      <c r="M865" s="233"/>
      <c r="N865" s="452"/>
      <c r="O865" s="451"/>
      <c r="P865" s="451"/>
      <c r="Q865" s="451"/>
      <c r="R865" s="231"/>
      <c r="S865" s="231"/>
      <c r="T865" s="231"/>
      <c r="U865" s="428"/>
    </row>
    <row r="866" spans="1:21" s="232" customFormat="1" ht="20.100000000000001" customHeight="1" x14ac:dyDescent="0.2">
      <c r="A866" s="462" t="e">
        <f>A858</f>
        <v>#N/A</v>
      </c>
      <c r="B866" s="426"/>
      <c r="C866" s="449"/>
      <c r="D866" s="448"/>
      <c r="E866" s="448"/>
      <c r="F866" s="448"/>
      <c r="G866" s="231"/>
      <c r="H866" s="231"/>
      <c r="I866" s="231"/>
      <c r="J866" s="428"/>
      <c r="K866" s="425"/>
      <c r="L866" s="462" t="str">
        <f>L858</f>
        <v/>
      </c>
      <c r="M866" s="426"/>
      <c r="N866" s="449"/>
      <c r="O866" s="448"/>
      <c r="P866" s="448"/>
      <c r="Q866" s="448"/>
      <c r="R866" s="231"/>
      <c r="S866" s="231"/>
      <c r="T866" s="231"/>
      <c r="U866" s="428"/>
    </row>
    <row r="867" spans="1:21" s="232" customFormat="1" ht="20.100000000000001" customHeight="1" x14ac:dyDescent="0.2">
      <c r="A867" s="463"/>
      <c r="B867" s="233"/>
      <c r="C867" s="452"/>
      <c r="D867" s="451"/>
      <c r="E867" s="451"/>
      <c r="F867" s="451"/>
      <c r="G867" s="231"/>
      <c r="H867" s="231"/>
      <c r="I867" s="231"/>
      <c r="J867" s="428"/>
      <c r="K867" s="425"/>
      <c r="L867" s="463"/>
      <c r="M867" s="233"/>
      <c r="N867" s="452"/>
      <c r="O867" s="451"/>
      <c r="P867" s="451"/>
      <c r="Q867" s="451"/>
      <c r="R867" s="231"/>
      <c r="S867" s="231"/>
      <c r="T867" s="231"/>
      <c r="U867" s="428"/>
    </row>
    <row r="868" spans="1:21" s="232" customFormat="1" ht="12.75" x14ac:dyDescent="0.2">
      <c r="A868" s="464" t="s">
        <v>91</v>
      </c>
      <c r="B868" s="231"/>
      <c r="C868" s="231"/>
      <c r="D868" s="231"/>
      <c r="E868" s="231"/>
      <c r="F868" s="231"/>
      <c r="G868" s="231"/>
      <c r="H868" s="231"/>
      <c r="I868" s="231"/>
      <c r="J868" s="428"/>
      <c r="K868" s="425"/>
      <c r="L868" s="464" t="s">
        <v>91</v>
      </c>
      <c r="M868" s="231"/>
      <c r="N868" s="231"/>
      <c r="O868" s="231"/>
      <c r="P868" s="231"/>
      <c r="Q868" s="231"/>
      <c r="R868" s="231"/>
      <c r="S868" s="231"/>
      <c r="T868" s="231"/>
      <c r="U868" s="428"/>
    </row>
    <row r="869" spans="1:21" s="232" customFormat="1" ht="12.75" x14ac:dyDescent="0.2">
      <c r="A869" s="425"/>
      <c r="B869" s="231"/>
      <c r="C869" s="231"/>
      <c r="D869" s="231"/>
      <c r="E869" s="231"/>
      <c r="F869" s="231"/>
      <c r="G869" s="231"/>
      <c r="H869" s="231"/>
      <c r="I869" s="231"/>
      <c r="J869" s="428"/>
      <c r="K869" s="425"/>
      <c r="L869" s="425"/>
      <c r="M869" s="231"/>
      <c r="N869" s="231"/>
      <c r="O869" s="231"/>
      <c r="P869" s="231"/>
      <c r="Q869" s="231"/>
      <c r="R869" s="231"/>
      <c r="S869" s="231"/>
      <c r="T869" s="231"/>
      <c r="U869" s="428"/>
    </row>
    <row r="870" spans="1:21" s="232" customFormat="1" ht="12.75" x14ac:dyDescent="0.2">
      <c r="A870" s="465" t="s">
        <v>89</v>
      </c>
      <c r="B870" s="233"/>
      <c r="C870" s="233"/>
      <c r="D870" s="233"/>
      <c r="E870" s="233"/>
      <c r="F870" s="233"/>
      <c r="G870" s="233"/>
      <c r="H870" s="233"/>
      <c r="I870" s="233"/>
      <c r="J870" s="452"/>
      <c r="K870" s="425"/>
      <c r="L870" s="465" t="s">
        <v>89</v>
      </c>
      <c r="M870" s="233"/>
      <c r="N870" s="233"/>
      <c r="O870" s="233"/>
      <c r="P870" s="233"/>
      <c r="Q870" s="233"/>
      <c r="R870" s="233"/>
      <c r="S870" s="233"/>
      <c r="T870" s="233"/>
      <c r="U870" s="452"/>
    </row>
    <row r="871" spans="1:21" s="232" customFormat="1" ht="15.75" customHeight="1" x14ac:dyDescent="0.2">
      <c r="A871" s="1005" t="str">
        <f>$A$1</f>
        <v>Circuit décathlon</v>
      </c>
      <c r="B871" s="1006"/>
      <c r="C871" s="1006"/>
      <c r="D871" s="1006"/>
      <c r="E871" s="1006"/>
      <c r="F871" s="1006"/>
      <c r="G871" s="1006"/>
      <c r="H871" s="1006"/>
      <c r="I871" s="1006"/>
      <c r="J871" s="1007"/>
      <c r="K871" s="425"/>
      <c r="L871" s="1005" t="str">
        <f>$A$1</f>
        <v>Circuit décathlon</v>
      </c>
      <c r="M871" s="1006"/>
      <c r="N871" s="1006"/>
      <c r="O871" s="1006"/>
      <c r="P871" s="1006"/>
      <c r="Q871" s="1006"/>
      <c r="R871" s="1006"/>
      <c r="S871" s="1006"/>
      <c r="T871" s="426"/>
      <c r="U871" s="449"/>
    </row>
    <row r="872" spans="1:21" s="232" customFormat="1" ht="15.75" x14ac:dyDescent="0.2">
      <c r="A872" s="425"/>
      <c r="B872" s="231"/>
      <c r="C872" s="231"/>
      <c r="D872" s="427" t="s">
        <v>83</v>
      </c>
      <c r="E872" s="474">
        <f>Rens!F59</f>
        <v>0</v>
      </c>
      <c r="F872" s="231"/>
      <c r="G872" s="231"/>
      <c r="H872" s="231"/>
      <c r="I872" s="231"/>
      <c r="J872" s="428"/>
      <c r="K872" s="425"/>
      <c r="L872" s="425"/>
      <c r="M872" s="231"/>
      <c r="N872" s="231"/>
      <c r="O872" s="427" t="s">
        <v>83</v>
      </c>
      <c r="P872" s="474">
        <f>Rens!F60</f>
        <v>0</v>
      </c>
      <c r="Q872" s="231"/>
      <c r="R872" s="231"/>
      <c r="S872" s="231"/>
      <c r="T872" s="231"/>
      <c r="U872" s="428"/>
    </row>
    <row r="873" spans="1:21" s="232" customFormat="1" ht="18.75" x14ac:dyDescent="0.2">
      <c r="A873" s="429" t="s">
        <v>84</v>
      </c>
      <c r="B873" s="430" t="str">
        <f>$B$3</f>
        <v>Minimes</v>
      </c>
      <c r="C873" s="231"/>
      <c r="D873" s="231"/>
      <c r="E873" s="231"/>
      <c r="F873" s="231"/>
      <c r="G873" s="231"/>
      <c r="H873" s="231"/>
      <c r="I873" s="231"/>
      <c r="J873" s="428"/>
      <c r="K873" s="425"/>
      <c r="L873" s="429" t="s">
        <v>84</v>
      </c>
      <c r="M873" s="430" t="str">
        <f>$B$3</f>
        <v>Minimes</v>
      </c>
      <c r="N873" s="231"/>
      <c r="O873" s="231"/>
      <c r="P873" s="231"/>
      <c r="Q873" s="231"/>
      <c r="R873" s="231"/>
      <c r="S873" s="231"/>
      <c r="T873" s="231"/>
      <c r="U873" s="428"/>
    </row>
    <row r="874" spans="1:21" s="232" customFormat="1" ht="18.75" x14ac:dyDescent="0.2">
      <c r="A874" s="997" t="s">
        <v>257</v>
      </c>
      <c r="B874" s="998"/>
      <c r="C874" s="998"/>
      <c r="D874" s="998"/>
      <c r="E874" s="231"/>
      <c r="F874" s="231"/>
      <c r="G874" s="499"/>
      <c r="H874" s="231"/>
      <c r="I874" s="231"/>
      <c r="J874" s="428"/>
      <c r="K874" s="425"/>
      <c r="L874" s="997" t="s">
        <v>258</v>
      </c>
      <c r="M874" s="998"/>
      <c r="N874" s="998"/>
      <c r="O874" s="998"/>
      <c r="P874" s="231"/>
      <c r="Q874" s="231"/>
      <c r="R874" s="499"/>
      <c r="S874" s="231"/>
      <c r="T874" s="499"/>
      <c r="U874" s="428"/>
    </row>
    <row r="875" spans="1:21" s="343" customFormat="1" ht="23.25" x14ac:dyDescent="0.2">
      <c r="A875" s="432"/>
      <c r="B875" s="434" t="str">
        <f>Tableau!AB28</f>
        <v/>
      </c>
      <c r="C875" s="345"/>
      <c r="D875" s="345"/>
      <c r="E875" s="344" t="s">
        <v>178</v>
      </c>
      <c r="F875" s="234">
        <f>Rens!G59</f>
        <v>0</v>
      </c>
      <c r="G875" s="345"/>
      <c r="H875" s="345"/>
      <c r="I875" s="345"/>
      <c r="J875" s="431"/>
      <c r="K875" s="432"/>
      <c r="L875" s="432"/>
      <c r="M875" s="434" t="str">
        <f>Tableau!AB20</f>
        <v/>
      </c>
      <c r="N875" s="345"/>
      <c r="O875" s="345"/>
      <c r="P875" s="344" t="s">
        <v>178</v>
      </c>
      <c r="Q875" s="234">
        <f>Rens!G60</f>
        <v>0</v>
      </c>
      <c r="R875" s="345"/>
      <c r="S875" s="345"/>
      <c r="T875" s="345"/>
      <c r="U875" s="431"/>
    </row>
    <row r="876" spans="1:21" s="232" customFormat="1" ht="15.75" x14ac:dyDescent="0.2">
      <c r="A876" s="470" t="s">
        <v>85</v>
      </c>
      <c r="B876" s="436" t="str">
        <f>IF(B875="","",VLOOKUP(B875,liste!$A$9:$G$145,2,FALSE))</f>
        <v/>
      </c>
      <c r="C876" s="471"/>
      <c r="D876" s="471"/>
      <c r="E876" s="471"/>
      <c r="F876" s="471"/>
      <c r="G876" s="471"/>
      <c r="H876" s="471"/>
      <c r="I876" s="231"/>
      <c r="J876" s="428"/>
      <c r="K876" s="425"/>
      <c r="L876" s="470" t="s">
        <v>85</v>
      </c>
      <c r="M876" s="436" t="str">
        <f>IF(M875="","",VLOOKUP(M875,liste!$A$9:$G$145,2,FALSE))</f>
        <v/>
      </c>
      <c r="N876" s="471"/>
      <c r="O876" s="471"/>
      <c r="P876" s="471"/>
      <c r="Q876" s="471"/>
      <c r="R876" s="471"/>
      <c r="S876" s="471"/>
      <c r="T876" s="471"/>
      <c r="U876" s="472"/>
    </row>
    <row r="877" spans="1:21" s="232" customFormat="1" ht="20.100000000000001" customHeight="1" x14ac:dyDescent="0.2">
      <c r="A877" s="425"/>
      <c r="B877" s="231"/>
      <c r="C877" s="231"/>
      <c r="D877" s="999" t="s">
        <v>19</v>
      </c>
      <c r="E877" s="1000"/>
      <c r="F877" s="1000"/>
      <c r="G877" s="1000"/>
      <c r="H877" s="1000"/>
      <c r="I877" s="1000"/>
      <c r="J877" s="1001"/>
      <c r="K877" s="425"/>
      <c r="L877" s="443"/>
      <c r="M877" s="444"/>
      <c r="N877" s="444"/>
      <c r="O877" s="1002" t="s">
        <v>19</v>
      </c>
      <c r="P877" s="1003"/>
      <c r="Q877" s="1003"/>
      <c r="R877" s="1003"/>
      <c r="S877" s="1003"/>
      <c r="T877" s="1003"/>
      <c r="U877" s="1004"/>
    </row>
    <row r="878" spans="1:21" s="232" customFormat="1" ht="20.100000000000001" customHeight="1" x14ac:dyDescent="0.2">
      <c r="A878" s="992" t="s">
        <v>86</v>
      </c>
      <c r="B878" s="993"/>
      <c r="C878" s="993"/>
      <c r="D878" s="467">
        <v>1</v>
      </c>
      <c r="E878" s="467">
        <v>2</v>
      </c>
      <c r="F878" s="467">
        <v>3</v>
      </c>
      <c r="G878" s="467">
        <v>4</v>
      </c>
      <c r="H878" s="467">
        <v>5</v>
      </c>
      <c r="I878" s="467">
        <v>6</v>
      </c>
      <c r="J878" s="467">
        <v>7</v>
      </c>
      <c r="K878" s="425"/>
      <c r="L878" s="992" t="s">
        <v>86</v>
      </c>
      <c r="M878" s="993"/>
      <c r="N878" s="993"/>
      <c r="O878" s="445">
        <v>1</v>
      </c>
      <c r="P878" s="445">
        <v>2</v>
      </c>
      <c r="Q878" s="445">
        <v>3</v>
      </c>
      <c r="R878" s="445">
        <v>4</v>
      </c>
      <c r="S878" s="446">
        <v>5</v>
      </c>
      <c r="T878" s="497">
        <v>6</v>
      </c>
      <c r="U878" s="446">
        <v>7</v>
      </c>
    </row>
    <row r="879" spans="1:21" s="232" customFormat="1" ht="20.100000000000001" customHeight="1" x14ac:dyDescent="0.2">
      <c r="A879" s="500"/>
      <c r="B879" s="501"/>
      <c r="C879" s="501"/>
      <c r="D879" s="994" t="s">
        <v>92</v>
      </c>
      <c r="E879" s="995"/>
      <c r="F879" s="995"/>
      <c r="G879" s="995"/>
      <c r="H879" s="995"/>
      <c r="I879" s="995"/>
      <c r="J879" s="996"/>
      <c r="K879" s="425"/>
      <c r="L879" s="500"/>
      <c r="M879" s="501"/>
      <c r="N879" s="501"/>
      <c r="O879" s="994" t="s">
        <v>92</v>
      </c>
      <c r="P879" s="995"/>
      <c r="Q879" s="995"/>
      <c r="R879" s="995"/>
      <c r="S879" s="995"/>
      <c r="T879" s="995"/>
      <c r="U879" s="996"/>
    </row>
    <row r="880" spans="1:21" s="232" customFormat="1" ht="18.75" x14ac:dyDescent="0.2">
      <c r="A880" s="498">
        <f>Tableau!V79</f>
        <v>0</v>
      </c>
      <c r="B880" s="231"/>
      <c r="C880" s="231"/>
      <c r="D880" s="447"/>
      <c r="E880" s="447"/>
      <c r="F880" s="447"/>
      <c r="G880" s="447"/>
      <c r="H880" s="447"/>
      <c r="I880" s="447"/>
      <c r="J880" s="447"/>
      <c r="K880" s="425"/>
      <c r="L880" s="498" t="str">
        <f>Tableau!V91</f>
        <v/>
      </c>
      <c r="M880" s="231"/>
      <c r="N880" s="231"/>
      <c r="O880" s="448"/>
      <c r="P880" s="448"/>
      <c r="Q880" s="448"/>
      <c r="R880" s="448"/>
      <c r="S880" s="448"/>
      <c r="T880" s="449"/>
      <c r="U880" s="448"/>
    </row>
    <row r="881" spans="1:21" s="232" customFormat="1" ht="20.100000000000001" customHeight="1" x14ac:dyDescent="0.2">
      <c r="A881" s="990" t="e">
        <f>IF(A880="","",VLOOKUP(A880,liste!$A$9:$G$145,2,FALSE))</f>
        <v>#N/A</v>
      </c>
      <c r="B881" s="991" t="e">
        <v>#N/A</v>
      </c>
      <c r="C881" s="991" t="e">
        <v>#N/A</v>
      </c>
      <c r="D881" s="447"/>
      <c r="E881" s="447"/>
      <c r="F881" s="447"/>
      <c r="G881" s="447"/>
      <c r="H881" s="447"/>
      <c r="I881" s="447"/>
      <c r="J881" s="447"/>
      <c r="K881" s="425"/>
      <c r="L881" s="990" t="str">
        <f>IF(L880="","",VLOOKUP(L880,liste!$A$9:$G$145,2,FALSE))</f>
        <v/>
      </c>
      <c r="M881" s="991" t="s">
        <v>288</v>
      </c>
      <c r="N881" s="991" t="s">
        <v>288</v>
      </c>
      <c r="O881" s="447"/>
      <c r="P881" s="447"/>
      <c r="Q881" s="447"/>
      <c r="R881" s="447"/>
      <c r="S881" s="447"/>
      <c r="T881" s="428"/>
      <c r="U881" s="447"/>
    </row>
    <row r="882" spans="1:21" s="232" customFormat="1" ht="20.100000000000001" customHeight="1" x14ac:dyDescent="0.2">
      <c r="A882" s="440"/>
      <c r="B882" s="438"/>
      <c r="C882" s="450" t="e">
        <f>IF(A880="","",VLOOKUP(A880,liste!$A$9:$G$145,4,FALSE))</f>
        <v>#N/A</v>
      </c>
      <c r="D882" s="451"/>
      <c r="E882" s="451"/>
      <c r="F882" s="451"/>
      <c r="G882" s="451"/>
      <c r="H882" s="451"/>
      <c r="I882" s="451"/>
      <c r="J882" s="451"/>
      <c r="K882" s="425"/>
      <c r="L882" s="440"/>
      <c r="M882" s="438"/>
      <c r="N882" s="450" t="str">
        <f>IF(L880="","",VLOOKUP(L880,liste!$A$9:$G$145,4,FALSE))</f>
        <v/>
      </c>
      <c r="O882" s="451"/>
      <c r="P882" s="451"/>
      <c r="Q882" s="451"/>
      <c r="R882" s="451"/>
      <c r="S882" s="451"/>
      <c r="T882" s="452"/>
      <c r="U882" s="451"/>
    </row>
    <row r="883" spans="1:21" s="232" customFormat="1" ht="15.75" x14ac:dyDescent="0.2">
      <c r="A883" s="453" t="e">
        <f>IF(A880="","",VLOOKUP(A880,liste!$A$9:$G$145,3,FALSE))</f>
        <v>#N/A</v>
      </c>
      <c r="B883" s="438"/>
      <c r="C883" s="438"/>
      <c r="D883" s="455"/>
      <c r="E883" s="455"/>
      <c r="F883" s="455"/>
      <c r="G883" s="455"/>
      <c r="H883" s="455"/>
      <c r="I883" s="455"/>
      <c r="J883" s="455"/>
      <c r="K883" s="425"/>
      <c r="L883" s="453" t="str">
        <f>IF(L880="","",VLOOKUP(L880,liste!$A$9:$G$145,3,FALSE))</f>
        <v/>
      </c>
      <c r="M883" s="438"/>
      <c r="N883" s="438"/>
      <c r="O883" s="454"/>
      <c r="P883" s="454"/>
      <c r="Q883" s="454"/>
      <c r="R883" s="454"/>
      <c r="S883" s="454"/>
      <c r="T883" s="456"/>
      <c r="U883" s="454"/>
    </row>
    <row r="884" spans="1:21" s="232" customFormat="1" ht="12.75" x14ac:dyDescent="0.2">
      <c r="A884" s="425"/>
      <c r="B884" s="230" t="s">
        <v>9</v>
      </c>
      <c r="C884" s="231"/>
      <c r="D884" s="458"/>
      <c r="E884" s="458"/>
      <c r="F884" s="458"/>
      <c r="G884" s="458"/>
      <c r="H884" s="458"/>
      <c r="I884" s="458"/>
      <c r="J884" s="458"/>
      <c r="K884" s="425"/>
      <c r="L884" s="425"/>
      <c r="M884" s="230" t="s">
        <v>9</v>
      </c>
      <c r="N884" s="231"/>
      <c r="O884" s="457"/>
      <c r="P884" s="457"/>
      <c r="Q884" s="457"/>
      <c r="R884" s="457"/>
      <c r="S884" s="457"/>
      <c r="T884" s="459"/>
      <c r="U884" s="457"/>
    </row>
    <row r="885" spans="1:21" s="232" customFormat="1" ht="18.75" x14ac:dyDescent="0.2">
      <c r="A885" s="498">
        <f>Tableau!V87</f>
        <v>0</v>
      </c>
      <c r="B885" s="231"/>
      <c r="C885" s="231"/>
      <c r="D885" s="448"/>
      <c r="E885" s="448"/>
      <c r="F885" s="448"/>
      <c r="G885" s="448"/>
      <c r="H885" s="448"/>
      <c r="I885" s="448"/>
      <c r="J885" s="448"/>
      <c r="K885" s="425"/>
      <c r="L885" s="498" t="str">
        <f>Tableau!V95</f>
        <v/>
      </c>
      <c r="M885" s="231"/>
      <c r="N885" s="231"/>
      <c r="O885" s="448"/>
      <c r="P885" s="448"/>
      <c r="Q885" s="448"/>
      <c r="R885" s="448"/>
      <c r="S885" s="448"/>
      <c r="T885" s="449"/>
      <c r="U885" s="448"/>
    </row>
    <row r="886" spans="1:21" s="232" customFormat="1" ht="20.100000000000001" customHeight="1" x14ac:dyDescent="0.2">
      <c r="A886" s="990" t="e">
        <f>IF(A885="","",VLOOKUP(A885,liste!$A$9:$G$145,2,FALSE))</f>
        <v>#N/A</v>
      </c>
      <c r="B886" s="991" t="e">
        <v>#N/A</v>
      </c>
      <c r="C886" s="991" t="e">
        <v>#N/A</v>
      </c>
      <c r="D886" s="447"/>
      <c r="E886" s="447"/>
      <c r="F886" s="447"/>
      <c r="G886" s="447"/>
      <c r="H886" s="447"/>
      <c r="I886" s="447"/>
      <c r="J886" s="447"/>
      <c r="K886" s="425"/>
      <c r="L886" s="990" t="str">
        <f>IF(L885="","",VLOOKUP(L885,liste!$A$9:$G$145,2,FALSE))</f>
        <v/>
      </c>
      <c r="M886" s="991" t="s">
        <v>288</v>
      </c>
      <c r="N886" s="991" t="s">
        <v>288</v>
      </c>
      <c r="O886" s="447"/>
      <c r="P886" s="447"/>
      <c r="Q886" s="447"/>
      <c r="R886" s="447"/>
      <c r="S886" s="447"/>
      <c r="T886" s="428"/>
      <c r="U886" s="447"/>
    </row>
    <row r="887" spans="1:21" s="232" customFormat="1" ht="20.100000000000001" customHeight="1" x14ac:dyDescent="0.2">
      <c r="A887" s="440"/>
      <c r="B887" s="438"/>
      <c r="C887" s="450" t="e">
        <f>IF(A885="","",VLOOKUP(A885,liste!$A$9:$G$145,4,FALSE))</f>
        <v>#N/A</v>
      </c>
      <c r="D887" s="451"/>
      <c r="E887" s="451"/>
      <c r="F887" s="451"/>
      <c r="G887" s="451"/>
      <c r="H887" s="451"/>
      <c r="I887" s="451"/>
      <c r="J887" s="451"/>
      <c r="K887" s="425"/>
      <c r="L887" s="440"/>
      <c r="M887" s="438"/>
      <c r="N887" s="450" t="str">
        <f>IF(L885="","",VLOOKUP(L885,liste!$A$9:$G$145,4,FALSE))</f>
        <v/>
      </c>
      <c r="O887" s="451"/>
      <c r="P887" s="451"/>
      <c r="Q887" s="451"/>
      <c r="R887" s="451"/>
      <c r="S887" s="451"/>
      <c r="T887" s="452"/>
      <c r="U887" s="451"/>
    </row>
    <row r="888" spans="1:21" s="232" customFormat="1" ht="15.75" x14ac:dyDescent="0.2">
      <c r="A888" s="453" t="e">
        <f>IF(A885="","",VLOOKUP(A885,liste!$A$9:$G$145,3,FALSE))</f>
        <v>#N/A</v>
      </c>
      <c r="B888" s="438"/>
      <c r="C888" s="438"/>
      <c r="D888" s="455"/>
      <c r="E888" s="455"/>
      <c r="F888" s="455"/>
      <c r="G888" s="455"/>
      <c r="H888" s="455"/>
      <c r="I888" s="455"/>
      <c r="J888" s="455"/>
      <c r="K888" s="425"/>
      <c r="L888" s="453" t="str">
        <f>IF(L885="","",VLOOKUP(L885,liste!$A$9:$G$145,3,FALSE))</f>
        <v/>
      </c>
      <c r="M888" s="438"/>
      <c r="N888" s="438"/>
      <c r="O888" s="454"/>
      <c r="P888" s="454"/>
      <c r="Q888" s="454"/>
      <c r="R888" s="454"/>
      <c r="S888" s="454"/>
      <c r="T888" s="456"/>
      <c r="U888" s="454"/>
    </row>
    <row r="889" spans="1:21" s="232" customFormat="1" ht="12.75" x14ac:dyDescent="0.2">
      <c r="A889" s="425"/>
      <c r="B889" s="231"/>
      <c r="C889" s="231"/>
      <c r="D889" s="458"/>
      <c r="E889" s="458"/>
      <c r="F889" s="458"/>
      <c r="G889" s="458"/>
      <c r="H889" s="458"/>
      <c r="I889" s="458"/>
      <c r="J889" s="458"/>
      <c r="K889" s="425"/>
      <c r="L889" s="425"/>
      <c r="M889" s="231"/>
      <c r="N889" s="231"/>
      <c r="O889" s="457"/>
      <c r="P889" s="457"/>
      <c r="Q889" s="457"/>
      <c r="R889" s="457"/>
      <c r="S889" s="457"/>
      <c r="T889" s="459"/>
      <c r="U889" s="457"/>
    </row>
    <row r="890" spans="1:21" s="232" customFormat="1" ht="12.75" x14ac:dyDescent="0.2">
      <c r="A890" s="425"/>
      <c r="B890" s="231"/>
      <c r="C890" s="231"/>
      <c r="D890" s="231"/>
      <c r="E890" s="231"/>
      <c r="F890" s="231"/>
      <c r="G890" s="231"/>
      <c r="H890" s="231"/>
      <c r="I890" s="231"/>
      <c r="J890" s="428"/>
      <c r="K890" s="425"/>
      <c r="L890" s="425"/>
      <c r="M890" s="231"/>
      <c r="N890" s="231"/>
      <c r="O890" s="231"/>
      <c r="P890" s="231"/>
      <c r="Q890" s="231"/>
      <c r="R890" s="231"/>
      <c r="S890" s="231"/>
      <c r="T890" s="231"/>
      <c r="U890" s="428"/>
    </row>
    <row r="891" spans="1:21" s="232" customFormat="1" ht="20.100000000000001" customHeight="1" x14ac:dyDescent="0.2">
      <c r="A891" s="988" t="s">
        <v>90</v>
      </c>
      <c r="B891" s="989"/>
      <c r="C891" s="989"/>
      <c r="D891" s="461" t="s">
        <v>77</v>
      </c>
      <c r="E891" s="461" t="s">
        <v>87</v>
      </c>
      <c r="F891" s="461" t="s">
        <v>88</v>
      </c>
      <c r="G891" s="231"/>
      <c r="H891" s="231"/>
      <c r="I891" s="231"/>
      <c r="J891" s="428"/>
      <c r="K891" s="425"/>
      <c r="L891" s="988" t="s">
        <v>90</v>
      </c>
      <c r="M891" s="989"/>
      <c r="N891" s="989"/>
      <c r="O891" s="461" t="s">
        <v>77</v>
      </c>
      <c r="P891" s="461" t="s">
        <v>87</v>
      </c>
      <c r="Q891" s="461" t="s">
        <v>88</v>
      </c>
      <c r="R891" s="231"/>
      <c r="S891" s="231"/>
      <c r="T891" s="231"/>
      <c r="U891" s="428"/>
    </row>
    <row r="892" spans="1:21" s="232" customFormat="1" ht="20.100000000000001" customHeight="1" x14ac:dyDescent="0.2">
      <c r="A892" s="462" t="e">
        <f>A881</f>
        <v>#N/A</v>
      </c>
      <c r="B892" s="426"/>
      <c r="C892" s="449"/>
      <c r="D892" s="448"/>
      <c r="E892" s="448"/>
      <c r="F892" s="448"/>
      <c r="G892" s="231"/>
      <c r="H892" s="231"/>
      <c r="I892" s="231"/>
      <c r="J892" s="428"/>
      <c r="K892" s="425"/>
      <c r="L892" s="462" t="str">
        <f>L881</f>
        <v/>
      </c>
      <c r="M892" s="426"/>
      <c r="N892" s="449"/>
      <c r="O892" s="448"/>
      <c r="P892" s="448"/>
      <c r="Q892" s="448"/>
      <c r="R892" s="231"/>
      <c r="S892" s="231"/>
      <c r="T892" s="231"/>
      <c r="U892" s="428"/>
    </row>
    <row r="893" spans="1:21" s="232" customFormat="1" ht="20.100000000000001" customHeight="1" x14ac:dyDescent="0.2">
      <c r="A893" s="463"/>
      <c r="B893" s="233"/>
      <c r="C893" s="452"/>
      <c r="D893" s="451"/>
      <c r="E893" s="451"/>
      <c r="F893" s="451"/>
      <c r="G893" s="231"/>
      <c r="H893" s="231"/>
      <c r="I893" s="231"/>
      <c r="J893" s="428"/>
      <c r="K893" s="425"/>
      <c r="L893" s="463"/>
      <c r="M893" s="233"/>
      <c r="N893" s="452"/>
      <c r="O893" s="451"/>
      <c r="P893" s="451"/>
      <c r="Q893" s="451"/>
      <c r="R893" s="231"/>
      <c r="S893" s="231"/>
      <c r="T893" s="231"/>
      <c r="U893" s="428"/>
    </row>
    <row r="894" spans="1:21" s="232" customFormat="1" ht="20.100000000000001" customHeight="1" x14ac:dyDescent="0.2">
      <c r="A894" s="462" t="e">
        <f>A886</f>
        <v>#N/A</v>
      </c>
      <c r="B894" s="426"/>
      <c r="C894" s="449"/>
      <c r="D894" s="448"/>
      <c r="E894" s="448"/>
      <c r="F894" s="448"/>
      <c r="G894" s="231"/>
      <c r="H894" s="231"/>
      <c r="I894" s="231"/>
      <c r="J894" s="428"/>
      <c r="K894" s="425"/>
      <c r="L894" s="462" t="str">
        <f>L886</f>
        <v/>
      </c>
      <c r="M894" s="426"/>
      <c r="N894" s="449"/>
      <c r="O894" s="448"/>
      <c r="P894" s="448"/>
      <c r="Q894" s="448"/>
      <c r="R894" s="231"/>
      <c r="S894" s="231"/>
      <c r="T894" s="231"/>
      <c r="U894" s="428"/>
    </row>
    <row r="895" spans="1:21" s="232" customFormat="1" ht="20.100000000000001" customHeight="1" x14ac:dyDescent="0.2">
      <c r="A895" s="463"/>
      <c r="B895" s="233"/>
      <c r="C895" s="452"/>
      <c r="D895" s="451"/>
      <c r="E895" s="451"/>
      <c r="F895" s="451"/>
      <c r="G895" s="231"/>
      <c r="H895" s="231"/>
      <c r="I895" s="231"/>
      <c r="J895" s="428"/>
      <c r="K895" s="425"/>
      <c r="L895" s="463"/>
      <c r="M895" s="233"/>
      <c r="N895" s="452"/>
      <c r="O895" s="451"/>
      <c r="P895" s="451"/>
      <c r="Q895" s="451"/>
      <c r="R895" s="231"/>
      <c r="S895" s="231"/>
      <c r="T895" s="231"/>
      <c r="U895" s="428"/>
    </row>
    <row r="896" spans="1:21" s="232" customFormat="1" ht="12.75" x14ac:dyDescent="0.2">
      <c r="A896" s="464" t="s">
        <v>91</v>
      </c>
      <c r="B896" s="231"/>
      <c r="C896" s="231"/>
      <c r="D896" s="231"/>
      <c r="E896" s="231"/>
      <c r="F896" s="231"/>
      <c r="G896" s="231"/>
      <c r="H896" s="231"/>
      <c r="I896" s="231"/>
      <c r="J896" s="428"/>
      <c r="K896" s="425"/>
      <c r="L896" s="464" t="s">
        <v>91</v>
      </c>
      <c r="M896" s="231"/>
      <c r="N896" s="231"/>
      <c r="O896" s="231"/>
      <c r="P896" s="231"/>
      <c r="Q896" s="231"/>
      <c r="R896" s="231"/>
      <c r="S896" s="231"/>
      <c r="T896" s="231"/>
      <c r="U896" s="428"/>
    </row>
    <row r="897" spans="1:21" s="232" customFormat="1" ht="12.75" x14ac:dyDescent="0.2">
      <c r="A897" s="425"/>
      <c r="B897" s="231"/>
      <c r="C897" s="231"/>
      <c r="D897" s="231"/>
      <c r="E897" s="231"/>
      <c r="F897" s="231"/>
      <c r="G897" s="231"/>
      <c r="H897" s="231"/>
      <c r="I897" s="231"/>
      <c r="J897" s="428"/>
      <c r="K897" s="425"/>
      <c r="L897" s="425"/>
      <c r="M897" s="231"/>
      <c r="N897" s="231"/>
      <c r="O897" s="231"/>
      <c r="P897" s="231"/>
      <c r="Q897" s="231"/>
      <c r="R897" s="231"/>
      <c r="S897" s="231"/>
      <c r="T897" s="231"/>
      <c r="U897" s="428"/>
    </row>
    <row r="898" spans="1:21" s="232" customFormat="1" ht="12.75" x14ac:dyDescent="0.2">
      <c r="A898" s="465" t="s">
        <v>89</v>
      </c>
      <c r="B898" s="233"/>
      <c r="C898" s="233"/>
      <c r="D898" s="233"/>
      <c r="E898" s="233"/>
      <c r="F898" s="233"/>
      <c r="G898" s="233"/>
      <c r="H898" s="233"/>
      <c r="I898" s="233"/>
      <c r="J898" s="452"/>
      <c r="K898" s="425"/>
      <c r="L898" s="465" t="s">
        <v>89</v>
      </c>
      <c r="M898" s="233"/>
      <c r="N898" s="233"/>
      <c r="O898" s="233"/>
      <c r="P898" s="233"/>
      <c r="Q898" s="233"/>
      <c r="R898" s="233"/>
      <c r="S898" s="233"/>
      <c r="T898" s="233"/>
      <c r="U898" s="452"/>
    </row>
    <row r="899" spans="1:21" s="232" customFormat="1" ht="30" customHeight="1" x14ac:dyDescent="0.2"/>
    <row r="900" spans="1:21" s="232" customFormat="1" ht="30" customHeight="1" x14ac:dyDescent="0.2"/>
    <row r="901" spans="1:21" s="232" customFormat="1" ht="20.100000000000001" customHeight="1" x14ac:dyDescent="0.2">
      <c r="A901" s="1005" t="str">
        <f>$A$1</f>
        <v>Circuit décathlon</v>
      </c>
      <c r="B901" s="1006"/>
      <c r="C901" s="1006"/>
      <c r="D901" s="1006"/>
      <c r="E901" s="1006"/>
      <c r="F901" s="1006"/>
      <c r="G901" s="1006"/>
      <c r="H901" s="1006"/>
      <c r="I901" s="1006"/>
      <c r="J901" s="1007"/>
      <c r="K901" s="425"/>
      <c r="L901" s="1005" t="str">
        <f>$A$1</f>
        <v>Circuit décathlon</v>
      </c>
      <c r="M901" s="1006"/>
      <c r="N901" s="1006"/>
      <c r="O901" s="1006"/>
      <c r="P901" s="1006"/>
      <c r="Q901" s="1006"/>
      <c r="R901" s="1006"/>
      <c r="S901" s="1006"/>
      <c r="T901" s="426"/>
      <c r="U901" s="449"/>
    </row>
    <row r="902" spans="1:21" s="232" customFormat="1" ht="15.75" x14ac:dyDescent="0.2">
      <c r="A902" s="425"/>
      <c r="B902" s="231"/>
      <c r="C902" s="231"/>
      <c r="D902" s="427" t="s">
        <v>83</v>
      </c>
      <c r="E902" s="474">
        <f>Rens!F61</f>
        <v>0</v>
      </c>
      <c r="F902" s="231"/>
      <c r="G902" s="231"/>
      <c r="H902" s="231"/>
      <c r="I902" s="231"/>
      <c r="J902" s="428"/>
      <c r="K902" s="425"/>
      <c r="L902" s="425"/>
      <c r="M902" s="231"/>
      <c r="N902" s="231"/>
      <c r="O902" s="427" t="s">
        <v>83</v>
      </c>
      <c r="P902" s="474">
        <f>Rens!F62</f>
        <v>0</v>
      </c>
      <c r="Q902" s="231"/>
      <c r="R902" s="231"/>
      <c r="S902" s="231"/>
      <c r="T902" s="231"/>
      <c r="U902" s="428"/>
    </row>
    <row r="903" spans="1:21" s="232" customFormat="1" ht="18.75" x14ac:dyDescent="0.2">
      <c r="A903" s="429" t="s">
        <v>84</v>
      </c>
      <c r="B903" s="430" t="str">
        <f>$B$3</f>
        <v>Minimes</v>
      </c>
      <c r="C903" s="231"/>
      <c r="D903" s="231"/>
      <c r="E903" s="231"/>
      <c r="F903" s="231"/>
      <c r="G903" s="231"/>
      <c r="H903" s="231"/>
      <c r="I903" s="231"/>
      <c r="J903" s="428"/>
      <c r="K903" s="425"/>
      <c r="L903" s="429" t="s">
        <v>84</v>
      </c>
      <c r="M903" s="430" t="str">
        <f>$B$3</f>
        <v>Minimes</v>
      </c>
      <c r="N903" s="231"/>
      <c r="O903" s="231"/>
      <c r="P903" s="231"/>
      <c r="Q903" s="231"/>
      <c r="R903" s="231"/>
      <c r="S903" s="231"/>
      <c r="T903" s="231"/>
      <c r="U903" s="428"/>
    </row>
    <row r="904" spans="1:21" s="232" customFormat="1" ht="18.75" x14ac:dyDescent="0.2">
      <c r="A904" s="997" t="s">
        <v>259</v>
      </c>
      <c r="B904" s="998"/>
      <c r="C904" s="998"/>
      <c r="D904" s="998"/>
      <c r="E904" s="231"/>
      <c r="F904" s="231"/>
      <c r="G904" s="499"/>
      <c r="H904" s="231"/>
      <c r="I904" s="231"/>
      <c r="J904" s="428"/>
      <c r="K904" s="425"/>
      <c r="L904" s="997" t="s">
        <v>260</v>
      </c>
      <c r="M904" s="998"/>
      <c r="N904" s="998"/>
      <c r="O904" s="998"/>
      <c r="P904" s="231"/>
      <c r="Q904" s="231"/>
      <c r="R904" s="499"/>
      <c r="S904" s="231"/>
      <c r="T904" s="499"/>
      <c r="U904" s="428"/>
    </row>
    <row r="905" spans="1:21" s="343" customFormat="1" ht="23.25" x14ac:dyDescent="0.2">
      <c r="A905" s="432"/>
      <c r="B905" s="434" t="str">
        <f>Tableau!AB18</f>
        <v/>
      </c>
      <c r="C905" s="345"/>
      <c r="D905" s="345"/>
      <c r="E905" s="344" t="s">
        <v>178</v>
      </c>
      <c r="F905" s="234">
        <f>Rens!G61</f>
        <v>0</v>
      </c>
      <c r="G905" s="345"/>
      <c r="H905" s="345"/>
      <c r="I905" s="345"/>
      <c r="J905" s="431"/>
      <c r="K905" s="432"/>
      <c r="L905" s="432"/>
      <c r="M905" s="434" t="str">
        <f>Tableau!AB10</f>
        <v/>
      </c>
      <c r="N905" s="345"/>
      <c r="O905" s="345"/>
      <c r="P905" s="344" t="s">
        <v>178</v>
      </c>
      <c r="Q905" s="234">
        <f>Rens!G62</f>
        <v>0</v>
      </c>
      <c r="R905" s="345"/>
      <c r="S905" s="345"/>
      <c r="T905" s="345"/>
      <c r="U905" s="431"/>
    </row>
    <row r="906" spans="1:21" s="232" customFormat="1" ht="15.75" x14ac:dyDescent="0.2">
      <c r="A906" s="470" t="s">
        <v>85</v>
      </c>
      <c r="B906" s="436" t="str">
        <f>IF(B905="","",VLOOKUP(B905,liste!$A$9:$G$145,2,FALSE))</f>
        <v/>
      </c>
      <c r="C906" s="471"/>
      <c r="D906" s="471"/>
      <c r="E906" s="471"/>
      <c r="F906" s="471"/>
      <c r="G906" s="471"/>
      <c r="H906" s="471"/>
      <c r="I906" s="231"/>
      <c r="J906" s="428"/>
      <c r="K906" s="425"/>
      <c r="L906" s="470" t="s">
        <v>85</v>
      </c>
      <c r="M906" s="436" t="str">
        <f>IF(M905="","",VLOOKUP(M905,liste!$A$9:$G$145,2,FALSE))</f>
        <v/>
      </c>
      <c r="N906" s="471"/>
      <c r="O906" s="471"/>
      <c r="P906" s="471"/>
      <c r="Q906" s="471"/>
      <c r="R906" s="471"/>
      <c r="S906" s="471"/>
      <c r="T906" s="471"/>
      <c r="U906" s="472"/>
    </row>
    <row r="907" spans="1:21" s="232" customFormat="1" ht="20.100000000000001" customHeight="1" x14ac:dyDescent="0.2">
      <c r="A907" s="425"/>
      <c r="D907" s="999" t="s">
        <v>19</v>
      </c>
      <c r="E907" s="1000"/>
      <c r="F907" s="1000"/>
      <c r="G907" s="1000"/>
      <c r="H907" s="1000"/>
      <c r="I907" s="1000"/>
      <c r="J907" s="1001"/>
      <c r="K907" s="425"/>
      <c r="L907" s="443"/>
      <c r="M907" s="444"/>
      <c r="N907" s="444"/>
      <c r="O907" s="1002" t="s">
        <v>19</v>
      </c>
      <c r="P907" s="1003"/>
      <c r="Q907" s="1003"/>
      <c r="R907" s="1003"/>
      <c r="S907" s="1003"/>
      <c r="T907" s="1003"/>
      <c r="U907" s="1004"/>
    </row>
    <row r="908" spans="1:21" s="232" customFormat="1" ht="20.100000000000001" customHeight="1" x14ac:dyDescent="0.2">
      <c r="A908" s="992" t="s">
        <v>86</v>
      </c>
      <c r="B908" s="993"/>
      <c r="C908" s="993"/>
      <c r="D908" s="467">
        <v>1</v>
      </c>
      <c r="E908" s="467">
        <v>2</v>
      </c>
      <c r="F908" s="467">
        <v>3</v>
      </c>
      <c r="G908" s="467">
        <v>4</v>
      </c>
      <c r="H908" s="467">
        <v>5</v>
      </c>
      <c r="I908" s="467">
        <v>6</v>
      </c>
      <c r="J908" s="467">
        <v>7</v>
      </c>
      <c r="K908" s="425"/>
      <c r="L908" s="992" t="s">
        <v>86</v>
      </c>
      <c r="M908" s="993"/>
      <c r="N908" s="993"/>
      <c r="O908" s="445">
        <v>1</v>
      </c>
      <c r="P908" s="445">
        <v>2</v>
      </c>
      <c r="Q908" s="445">
        <v>3</v>
      </c>
      <c r="R908" s="445">
        <v>4</v>
      </c>
      <c r="S908" s="446">
        <v>5</v>
      </c>
      <c r="T908" s="497">
        <v>6</v>
      </c>
      <c r="U908" s="446">
        <v>7</v>
      </c>
    </row>
    <row r="909" spans="1:21" s="232" customFormat="1" ht="20.100000000000001" customHeight="1" x14ac:dyDescent="0.2">
      <c r="A909" s="500"/>
      <c r="B909" s="501"/>
      <c r="C909" s="501"/>
      <c r="D909" s="994" t="s">
        <v>92</v>
      </c>
      <c r="E909" s="995"/>
      <c r="F909" s="995"/>
      <c r="G909" s="995"/>
      <c r="H909" s="995"/>
      <c r="I909" s="995"/>
      <c r="J909" s="996"/>
      <c r="K909" s="425"/>
      <c r="L909" s="500"/>
      <c r="M909" s="501"/>
      <c r="N909" s="501"/>
      <c r="O909" s="994" t="s">
        <v>92</v>
      </c>
      <c r="P909" s="995"/>
      <c r="Q909" s="995"/>
      <c r="R909" s="995"/>
      <c r="S909" s="995"/>
      <c r="T909" s="995"/>
      <c r="U909" s="996"/>
    </row>
    <row r="910" spans="1:21" s="232" customFormat="1" ht="18.75" x14ac:dyDescent="0.2">
      <c r="A910" s="498">
        <f>Tableau!B79</f>
        <v>0</v>
      </c>
      <c r="C910" s="231"/>
      <c r="D910" s="448"/>
      <c r="E910" s="448"/>
      <c r="F910" s="448"/>
      <c r="G910" s="448"/>
      <c r="H910" s="448"/>
      <c r="I910" s="448"/>
      <c r="J910" s="448"/>
      <c r="K910" s="425"/>
      <c r="L910" s="498" t="str">
        <f>Tableau!B91</f>
        <v/>
      </c>
      <c r="M910" s="231"/>
      <c r="N910" s="231"/>
      <c r="O910" s="448"/>
      <c r="P910" s="448"/>
      <c r="Q910" s="448"/>
      <c r="R910" s="448"/>
      <c r="S910" s="448"/>
      <c r="T910" s="449"/>
      <c r="U910" s="448"/>
    </row>
    <row r="911" spans="1:21" s="232" customFormat="1" ht="20.100000000000001" customHeight="1" x14ac:dyDescent="0.2">
      <c r="A911" s="990" t="e">
        <f>IF(A910="","",VLOOKUP(A910,liste!$A$9:$G$145,2,FALSE))</f>
        <v>#N/A</v>
      </c>
      <c r="B911" s="991" t="e">
        <v>#N/A</v>
      </c>
      <c r="C911" s="991" t="e">
        <v>#N/A</v>
      </c>
      <c r="D911" s="447"/>
      <c r="E911" s="447"/>
      <c r="F911" s="447"/>
      <c r="G911" s="447"/>
      <c r="H911" s="447"/>
      <c r="I911" s="447"/>
      <c r="J911" s="447"/>
      <c r="K911" s="425"/>
      <c r="L911" s="990" t="str">
        <f>IF(L910="","",VLOOKUP(L910,liste!$A$9:$G$145,2,FALSE))</f>
        <v/>
      </c>
      <c r="M911" s="991" t="s">
        <v>288</v>
      </c>
      <c r="N911" s="991" t="s">
        <v>288</v>
      </c>
      <c r="O911" s="447"/>
      <c r="P911" s="447"/>
      <c r="Q911" s="447"/>
      <c r="R911" s="447"/>
      <c r="S911" s="447"/>
      <c r="T911" s="428"/>
      <c r="U911" s="447"/>
    </row>
    <row r="912" spans="1:21" s="232" customFormat="1" ht="20.100000000000001" customHeight="1" x14ac:dyDescent="0.2">
      <c r="A912" s="440"/>
      <c r="B912" s="438"/>
      <c r="C912" s="450" t="e">
        <f>IF(A910="","",VLOOKUP(A910,liste!$A$9:$G$145,4,FALSE))</f>
        <v>#N/A</v>
      </c>
      <c r="D912" s="451"/>
      <c r="E912" s="451"/>
      <c r="F912" s="451"/>
      <c r="G912" s="451"/>
      <c r="H912" s="451"/>
      <c r="I912" s="451"/>
      <c r="J912" s="451"/>
      <c r="K912" s="425"/>
      <c r="L912" s="440"/>
      <c r="M912" s="438"/>
      <c r="N912" s="450" t="str">
        <f>IF(L910="","",VLOOKUP(L910,liste!$A$9:$G$145,4,FALSE))</f>
        <v/>
      </c>
      <c r="O912" s="451"/>
      <c r="P912" s="451"/>
      <c r="Q912" s="451"/>
      <c r="R912" s="451"/>
      <c r="S912" s="451"/>
      <c r="T912" s="452"/>
      <c r="U912" s="451"/>
    </row>
    <row r="913" spans="1:21" s="232" customFormat="1" ht="15.75" x14ac:dyDescent="0.2">
      <c r="A913" s="468" t="e">
        <f>IF(A910="","",VLOOKUP(A910,liste!$A$9:$G$145,3,FALSE))</f>
        <v>#N/A</v>
      </c>
      <c r="B913" s="438"/>
      <c r="C913" s="438"/>
      <c r="D913" s="455"/>
      <c r="E913" s="455"/>
      <c r="F913" s="455"/>
      <c r="G913" s="455"/>
      <c r="H913" s="455"/>
      <c r="I913" s="455"/>
      <c r="J913" s="455"/>
      <c r="K913" s="425"/>
      <c r="L913" s="468" t="str">
        <f>IF(L910="","",VLOOKUP(L910,liste!$A$9:$G$145,3,FALSE))</f>
        <v/>
      </c>
      <c r="M913" s="438"/>
      <c r="N913" s="438"/>
      <c r="O913" s="454"/>
      <c r="P913" s="454"/>
      <c r="Q913" s="454"/>
      <c r="R913" s="454"/>
      <c r="S913" s="454"/>
      <c r="T913" s="456"/>
      <c r="U913" s="454"/>
    </row>
    <row r="914" spans="1:21" s="232" customFormat="1" ht="12.75" x14ac:dyDescent="0.2">
      <c r="A914" s="425"/>
      <c r="B914" s="230" t="s">
        <v>9</v>
      </c>
      <c r="C914" s="231"/>
      <c r="D914" s="458"/>
      <c r="E914" s="458"/>
      <c r="F914" s="458"/>
      <c r="G914" s="458"/>
      <c r="H914" s="458"/>
      <c r="I914" s="458"/>
      <c r="J914" s="458"/>
      <c r="K914" s="425"/>
      <c r="L914" s="425"/>
      <c r="M914" s="230" t="s">
        <v>9</v>
      </c>
      <c r="N914" s="231"/>
      <c r="O914" s="457"/>
      <c r="P914" s="457"/>
      <c r="Q914" s="457"/>
      <c r="R914" s="457"/>
      <c r="S914" s="457"/>
      <c r="T914" s="459"/>
      <c r="U914" s="457"/>
    </row>
    <row r="915" spans="1:21" s="232" customFormat="1" ht="18.75" x14ac:dyDescent="0.2">
      <c r="A915" s="498">
        <f>Tableau!B87</f>
        <v>0</v>
      </c>
      <c r="B915" s="469"/>
      <c r="C915" s="231"/>
      <c r="D915" s="448"/>
      <c r="E915" s="448"/>
      <c r="F915" s="448"/>
      <c r="G915" s="448"/>
      <c r="H915" s="448"/>
      <c r="I915" s="448"/>
      <c r="J915" s="448"/>
      <c r="K915" s="425"/>
      <c r="L915" s="498" t="str">
        <f>Tableau!B95</f>
        <v/>
      </c>
      <c r="M915" s="231"/>
      <c r="N915" s="231"/>
      <c r="O915" s="448"/>
      <c r="P915" s="448"/>
      <c r="Q915" s="448"/>
      <c r="R915" s="448"/>
      <c r="S915" s="448"/>
      <c r="T915" s="449"/>
      <c r="U915" s="448"/>
    </row>
    <row r="916" spans="1:21" s="232" customFormat="1" ht="20.100000000000001" customHeight="1" x14ac:dyDescent="0.2">
      <c r="A916" s="990" t="e">
        <f>IF(A915="","",VLOOKUP(A915,liste!$A$9:$G$145,2,FALSE))</f>
        <v>#N/A</v>
      </c>
      <c r="B916" s="991" t="e">
        <v>#N/A</v>
      </c>
      <c r="C916" s="991" t="e">
        <v>#N/A</v>
      </c>
      <c r="D916" s="447"/>
      <c r="E916" s="447"/>
      <c r="F916" s="447"/>
      <c r="G916" s="447"/>
      <c r="H916" s="447"/>
      <c r="I916" s="447"/>
      <c r="J916" s="447"/>
      <c r="K916" s="425"/>
      <c r="L916" s="990" t="str">
        <f>IF(L915="","",VLOOKUP(L915,liste!$A$9:$G$145,2,FALSE))</f>
        <v/>
      </c>
      <c r="M916" s="991" t="s">
        <v>288</v>
      </c>
      <c r="N916" s="991" t="s">
        <v>288</v>
      </c>
      <c r="O916" s="447"/>
      <c r="P916" s="447"/>
      <c r="Q916" s="447"/>
      <c r="R916" s="447"/>
      <c r="S916" s="447"/>
      <c r="T916" s="428"/>
      <c r="U916" s="447"/>
    </row>
    <row r="917" spans="1:21" s="232" customFormat="1" ht="20.100000000000001" customHeight="1" x14ac:dyDescent="0.2">
      <c r="A917" s="440"/>
      <c r="B917" s="438"/>
      <c r="C917" s="450" t="e">
        <f>IF(A915="","",VLOOKUP(A915,liste!$A$9:$G$145,4,FALSE))</f>
        <v>#N/A</v>
      </c>
      <c r="D917" s="451"/>
      <c r="E917" s="451"/>
      <c r="F917" s="451"/>
      <c r="G917" s="451"/>
      <c r="H917" s="451"/>
      <c r="I917" s="451"/>
      <c r="J917" s="451"/>
      <c r="K917" s="425"/>
      <c r="L917" s="440"/>
      <c r="M917" s="438"/>
      <c r="N917" s="450" t="str">
        <f>IF(L915="","",VLOOKUP(L915,liste!$A$9:$G$145,4,FALSE))</f>
        <v/>
      </c>
      <c r="O917" s="451"/>
      <c r="P917" s="451"/>
      <c r="Q917" s="451"/>
      <c r="R917" s="451"/>
      <c r="S917" s="451"/>
      <c r="T917" s="452"/>
      <c r="U917" s="451"/>
    </row>
    <row r="918" spans="1:21" s="232" customFormat="1" ht="15.75" x14ac:dyDescent="0.2">
      <c r="A918" s="473" t="e">
        <f>IF(A915="","",VLOOKUP(A915,liste!$A$9:$G$145,3,FALSE))</f>
        <v>#N/A</v>
      </c>
      <c r="B918" s="438"/>
      <c r="C918" s="438"/>
      <c r="D918" s="455"/>
      <c r="E918" s="455"/>
      <c r="F918" s="455"/>
      <c r="G918" s="455"/>
      <c r="H918" s="455"/>
      <c r="I918" s="455"/>
      <c r="J918" s="455"/>
      <c r="K918" s="425"/>
      <c r="L918" s="468" t="str">
        <f>IF(L915="","",VLOOKUP(L915,liste!$A$9:$G$145,3,FALSE))</f>
        <v/>
      </c>
      <c r="M918" s="438"/>
      <c r="N918" s="438"/>
      <c r="O918" s="454"/>
      <c r="P918" s="454"/>
      <c r="Q918" s="454"/>
      <c r="R918" s="454"/>
      <c r="S918" s="454"/>
      <c r="T918" s="456"/>
      <c r="U918" s="454"/>
    </row>
    <row r="919" spans="1:21" s="232" customFormat="1" ht="12.75" x14ac:dyDescent="0.2">
      <c r="A919" s="425"/>
      <c r="B919" s="231"/>
      <c r="C919" s="231"/>
      <c r="D919" s="458"/>
      <c r="E919" s="458"/>
      <c r="F919" s="458"/>
      <c r="G919" s="458"/>
      <c r="H919" s="458"/>
      <c r="I919" s="458"/>
      <c r="J919" s="458"/>
      <c r="K919" s="425"/>
      <c r="L919" s="425"/>
      <c r="M919" s="231"/>
      <c r="N919" s="231"/>
      <c r="O919" s="457"/>
      <c r="P919" s="457"/>
      <c r="Q919" s="457"/>
      <c r="R919" s="457"/>
      <c r="S919" s="457"/>
      <c r="T919" s="459"/>
      <c r="U919" s="457"/>
    </row>
    <row r="920" spans="1:21" s="232" customFormat="1" ht="12.75" x14ac:dyDescent="0.2">
      <c r="A920" s="425"/>
      <c r="B920" s="231"/>
      <c r="C920" s="231"/>
      <c r="D920" s="231"/>
      <c r="E920" s="231"/>
      <c r="F920" s="231"/>
      <c r="G920" s="231"/>
      <c r="H920" s="231"/>
      <c r="I920" s="231"/>
      <c r="J920" s="428"/>
      <c r="K920" s="425"/>
      <c r="L920" s="425"/>
      <c r="M920" s="231"/>
      <c r="N920" s="231"/>
      <c r="O920" s="231"/>
      <c r="P920" s="231"/>
      <c r="Q920" s="231"/>
      <c r="R920" s="231"/>
      <c r="S920" s="231"/>
      <c r="T920" s="231"/>
      <c r="U920" s="428"/>
    </row>
    <row r="921" spans="1:21" s="232" customFormat="1" ht="20.100000000000001" customHeight="1" x14ac:dyDescent="0.2">
      <c r="A921" s="988" t="s">
        <v>90</v>
      </c>
      <c r="B921" s="989"/>
      <c r="C921" s="989"/>
      <c r="D921" s="461" t="s">
        <v>77</v>
      </c>
      <c r="E921" s="461" t="s">
        <v>87</v>
      </c>
      <c r="F921" s="461" t="s">
        <v>88</v>
      </c>
      <c r="G921" s="231"/>
      <c r="H921" s="231"/>
      <c r="I921" s="231"/>
      <c r="J921" s="428"/>
      <c r="K921" s="425"/>
      <c r="L921" s="988" t="s">
        <v>90</v>
      </c>
      <c r="M921" s="989"/>
      <c r="N921" s="989"/>
      <c r="O921" s="461" t="s">
        <v>77</v>
      </c>
      <c r="P921" s="461" t="s">
        <v>87</v>
      </c>
      <c r="Q921" s="461" t="s">
        <v>88</v>
      </c>
      <c r="R921" s="231"/>
      <c r="S921" s="231"/>
      <c r="T921" s="231"/>
      <c r="U921" s="428"/>
    </row>
    <row r="922" spans="1:21" s="232" customFormat="1" ht="20.100000000000001" customHeight="1" x14ac:dyDescent="0.2">
      <c r="A922" s="462" t="e">
        <f>A911</f>
        <v>#N/A</v>
      </c>
      <c r="B922" s="426"/>
      <c r="C922" s="449"/>
      <c r="D922" s="448"/>
      <c r="E922" s="448"/>
      <c r="F922" s="448"/>
      <c r="G922" s="231"/>
      <c r="H922" s="231"/>
      <c r="I922" s="231"/>
      <c r="J922" s="428"/>
      <c r="K922" s="425"/>
      <c r="L922" s="462" t="str">
        <f>L911</f>
        <v/>
      </c>
      <c r="M922" s="426"/>
      <c r="N922" s="449"/>
      <c r="O922" s="448"/>
      <c r="P922" s="448"/>
      <c r="Q922" s="448"/>
      <c r="R922" s="231"/>
      <c r="S922" s="231"/>
      <c r="T922" s="231"/>
      <c r="U922" s="428"/>
    </row>
    <row r="923" spans="1:21" s="232" customFormat="1" ht="20.100000000000001" customHeight="1" x14ac:dyDescent="0.2">
      <c r="A923" s="463"/>
      <c r="B923" s="233"/>
      <c r="C923" s="452"/>
      <c r="D923" s="451"/>
      <c r="E923" s="451"/>
      <c r="F923" s="451"/>
      <c r="G923" s="231"/>
      <c r="H923" s="231"/>
      <c r="I923" s="231"/>
      <c r="J923" s="428"/>
      <c r="K923" s="425"/>
      <c r="L923" s="463"/>
      <c r="M923" s="233"/>
      <c r="N923" s="452"/>
      <c r="O923" s="451"/>
      <c r="P923" s="451"/>
      <c r="Q923" s="451"/>
      <c r="R923" s="231"/>
      <c r="S923" s="231"/>
      <c r="T923" s="231"/>
      <c r="U923" s="428"/>
    </row>
    <row r="924" spans="1:21" s="232" customFormat="1" ht="20.100000000000001" customHeight="1" x14ac:dyDescent="0.2">
      <c r="A924" s="462" t="e">
        <f>A916</f>
        <v>#N/A</v>
      </c>
      <c r="B924" s="426"/>
      <c r="C924" s="449"/>
      <c r="D924" s="448"/>
      <c r="E924" s="448"/>
      <c r="F924" s="448"/>
      <c r="G924" s="231"/>
      <c r="H924" s="231"/>
      <c r="I924" s="231"/>
      <c r="J924" s="428"/>
      <c r="K924" s="425"/>
      <c r="L924" s="462" t="str">
        <f>L916</f>
        <v/>
      </c>
      <c r="M924" s="426"/>
      <c r="N924" s="449"/>
      <c r="O924" s="448"/>
      <c r="P924" s="448"/>
      <c r="Q924" s="448"/>
      <c r="R924" s="231"/>
      <c r="S924" s="231"/>
      <c r="T924" s="231"/>
      <c r="U924" s="428"/>
    </row>
    <row r="925" spans="1:21" s="232" customFormat="1" ht="20.100000000000001" customHeight="1" x14ac:dyDescent="0.2">
      <c r="A925" s="463"/>
      <c r="B925" s="233"/>
      <c r="C925" s="452"/>
      <c r="D925" s="451"/>
      <c r="E925" s="451"/>
      <c r="F925" s="451"/>
      <c r="G925" s="231"/>
      <c r="H925" s="231"/>
      <c r="I925" s="231"/>
      <c r="J925" s="428"/>
      <c r="K925" s="425"/>
      <c r="L925" s="463"/>
      <c r="M925" s="233"/>
      <c r="N925" s="452"/>
      <c r="O925" s="451"/>
      <c r="P925" s="451"/>
      <c r="Q925" s="451"/>
      <c r="R925" s="231"/>
      <c r="S925" s="231"/>
      <c r="T925" s="231"/>
      <c r="U925" s="428"/>
    </row>
    <row r="926" spans="1:21" s="232" customFormat="1" ht="12.75" x14ac:dyDescent="0.2">
      <c r="A926" s="464" t="s">
        <v>91</v>
      </c>
      <c r="B926" s="231"/>
      <c r="C926" s="231"/>
      <c r="D926" s="231"/>
      <c r="E926" s="231"/>
      <c r="F926" s="231"/>
      <c r="G926" s="231"/>
      <c r="H926" s="231"/>
      <c r="I926" s="231"/>
      <c r="J926" s="428"/>
      <c r="K926" s="425"/>
      <c r="L926" s="464" t="s">
        <v>91</v>
      </c>
      <c r="M926" s="231"/>
      <c r="N926" s="231"/>
      <c r="O926" s="231"/>
      <c r="P926" s="231"/>
      <c r="Q926" s="231"/>
      <c r="R926" s="231"/>
      <c r="S926" s="231"/>
      <c r="T926" s="231"/>
      <c r="U926" s="428"/>
    </row>
    <row r="927" spans="1:21" s="232" customFormat="1" ht="12.75" x14ac:dyDescent="0.2">
      <c r="A927" s="425"/>
      <c r="B927" s="231"/>
      <c r="C927" s="231"/>
      <c r="D927" s="231"/>
      <c r="E927" s="231"/>
      <c r="F927" s="231"/>
      <c r="G927" s="231"/>
      <c r="H927" s="231"/>
      <c r="I927" s="231"/>
      <c r="J927" s="428"/>
      <c r="K927" s="425"/>
      <c r="L927" s="425"/>
      <c r="M927" s="231"/>
      <c r="N927" s="231"/>
      <c r="O927" s="231"/>
      <c r="P927" s="231"/>
      <c r="Q927" s="231"/>
      <c r="R927" s="231"/>
      <c r="S927" s="231"/>
      <c r="T927" s="231"/>
      <c r="U927" s="428"/>
    </row>
    <row r="928" spans="1:21" s="232" customFormat="1" ht="12.75" customHeight="1" x14ac:dyDescent="0.2">
      <c r="A928" s="465" t="s">
        <v>89</v>
      </c>
      <c r="B928" s="233"/>
      <c r="C928" s="233"/>
      <c r="D928" s="233"/>
      <c r="E928" s="233"/>
      <c r="F928" s="233"/>
      <c r="G928" s="233"/>
      <c r="H928" s="233"/>
      <c r="I928" s="233"/>
      <c r="J928" s="452"/>
      <c r="K928" s="425"/>
      <c r="L928" s="465" t="s">
        <v>89</v>
      </c>
      <c r="M928" s="233"/>
      <c r="N928" s="233"/>
      <c r="O928" s="233"/>
      <c r="P928" s="233"/>
      <c r="Q928" s="233"/>
      <c r="R928" s="233"/>
      <c r="S928" s="233"/>
      <c r="T928" s="233"/>
      <c r="U928" s="452"/>
    </row>
    <row r="929" spans="1:21" s="232" customFormat="1" ht="20.100000000000001" customHeight="1" x14ac:dyDescent="0.2">
      <c r="A929" s="1005" t="str">
        <f>$A$1</f>
        <v>Circuit décathlon</v>
      </c>
      <c r="B929" s="1006"/>
      <c r="C929" s="1006"/>
      <c r="D929" s="1006"/>
      <c r="E929" s="1006"/>
      <c r="F929" s="1006"/>
      <c r="G929" s="1006"/>
      <c r="H929" s="1006"/>
      <c r="I929" s="1006"/>
      <c r="J929" s="1007"/>
      <c r="K929" s="425"/>
      <c r="L929" s="1005" t="str">
        <f>$A$1</f>
        <v>Circuit décathlon</v>
      </c>
      <c r="M929" s="1006"/>
      <c r="N929" s="1006"/>
      <c r="O929" s="1006"/>
      <c r="P929" s="1006"/>
      <c r="Q929" s="1006"/>
      <c r="R929" s="1006"/>
      <c r="S929" s="1006"/>
      <c r="T929" s="426"/>
      <c r="U929" s="449"/>
    </row>
    <row r="930" spans="1:21" s="232" customFormat="1" ht="15.75" x14ac:dyDescent="0.2">
      <c r="A930" s="425"/>
      <c r="B930" s="231"/>
      <c r="C930" s="231"/>
      <c r="D930" s="427" t="s">
        <v>83</v>
      </c>
      <c r="E930" s="474">
        <f>Rens!J55</f>
        <v>0</v>
      </c>
      <c r="F930" s="231"/>
      <c r="G930" s="231"/>
      <c r="H930" s="231"/>
      <c r="I930" s="231"/>
      <c r="J930" s="428"/>
      <c r="K930" s="425"/>
      <c r="L930" s="425"/>
      <c r="M930" s="231"/>
      <c r="N930" s="231"/>
      <c r="O930" s="427" t="s">
        <v>83</v>
      </c>
      <c r="P930" s="474">
        <f>Rens!J56</f>
        <v>0</v>
      </c>
      <c r="Q930" s="231"/>
      <c r="R930" s="231"/>
      <c r="S930" s="231"/>
      <c r="T930" s="231"/>
      <c r="U930" s="428"/>
    </row>
    <row r="931" spans="1:21" s="343" customFormat="1" ht="18.75" x14ac:dyDescent="0.2">
      <c r="A931" s="429" t="s">
        <v>84</v>
      </c>
      <c r="B931" s="430" t="str">
        <f>liste!$A$6</f>
        <v>Minimes</v>
      </c>
      <c r="C931" s="345"/>
      <c r="D931" s="345"/>
      <c r="E931" s="345"/>
      <c r="F931" s="345"/>
      <c r="G931" s="345"/>
      <c r="H931" s="345"/>
      <c r="I931" s="345"/>
      <c r="J931" s="431"/>
      <c r="K931" s="432"/>
      <c r="L931" s="429" t="s">
        <v>84</v>
      </c>
      <c r="M931" s="430" t="str">
        <f>$B$3</f>
        <v>Minimes</v>
      </c>
      <c r="N931" s="345"/>
      <c r="O931" s="345"/>
      <c r="P931" s="345"/>
      <c r="Q931" s="345"/>
      <c r="R931" s="345"/>
      <c r="S931" s="345"/>
      <c r="T931" s="345"/>
      <c r="U931" s="431"/>
    </row>
    <row r="932" spans="1:21" s="343" customFormat="1" ht="18.75" x14ac:dyDescent="0.2">
      <c r="A932" s="997" t="s">
        <v>268</v>
      </c>
      <c r="B932" s="998"/>
      <c r="C932" s="998"/>
      <c r="D932" s="998"/>
      <c r="E932" s="345"/>
      <c r="F932" s="345"/>
      <c r="G932" s="430"/>
      <c r="H932" s="430"/>
      <c r="I932" s="345"/>
      <c r="J932" s="431"/>
      <c r="K932" s="432"/>
      <c r="L932" s="997" t="s">
        <v>269</v>
      </c>
      <c r="M932" s="998"/>
      <c r="N932" s="998"/>
      <c r="O932" s="998"/>
      <c r="P932" s="345"/>
      <c r="Q932" s="345"/>
      <c r="R932" s="430"/>
      <c r="S932" s="430"/>
      <c r="T932" s="430"/>
      <c r="U932" s="433"/>
    </row>
    <row r="933" spans="1:21" s="343" customFormat="1" ht="23.25" x14ac:dyDescent="0.2">
      <c r="A933" s="432"/>
      <c r="B933" s="434" t="str">
        <f>Tableau!P46</f>
        <v/>
      </c>
      <c r="C933" s="345"/>
      <c r="D933" s="345"/>
      <c r="E933" s="344" t="s">
        <v>178</v>
      </c>
      <c r="F933" s="234">
        <f>Rens!K55</f>
        <v>0</v>
      </c>
      <c r="G933" s="345"/>
      <c r="H933" s="345"/>
      <c r="I933" s="345"/>
      <c r="J933" s="431"/>
      <c r="K933" s="432"/>
      <c r="L933" s="432"/>
      <c r="M933" s="434" t="str">
        <f>Tableau!P42</f>
        <v/>
      </c>
      <c r="N933" s="345"/>
      <c r="O933" s="345"/>
      <c r="P933" s="344" t="s">
        <v>178</v>
      </c>
      <c r="Q933" s="479">
        <f>Rens!K56</f>
        <v>0</v>
      </c>
      <c r="R933" s="345"/>
      <c r="S933" s="345"/>
      <c r="T933" s="345"/>
      <c r="U933" s="431"/>
    </row>
    <row r="934" spans="1:21" s="442" customFormat="1" ht="15.75" x14ac:dyDescent="0.2">
      <c r="A934" s="435" t="s">
        <v>85</v>
      </c>
      <c r="B934" s="436" t="str">
        <f>IF(B933="","",VLOOKUP(B933,liste!$A$9:$G$145,2,FALSE))</f>
        <v/>
      </c>
      <c r="C934" s="437"/>
      <c r="D934" s="437"/>
      <c r="E934" s="437"/>
      <c r="F934" s="437"/>
      <c r="G934" s="437"/>
      <c r="H934" s="437"/>
      <c r="I934" s="438"/>
      <c r="J934" s="439"/>
      <c r="K934" s="440"/>
      <c r="L934" s="435" t="s">
        <v>85</v>
      </c>
      <c r="M934" s="436" t="str">
        <f>IF(M933="","",VLOOKUP(M933,liste!$A$9:$G$145,2,FALSE))</f>
        <v/>
      </c>
      <c r="N934" s="437"/>
      <c r="O934" s="437"/>
      <c r="P934" s="437"/>
      <c r="Q934" s="437"/>
      <c r="R934" s="437"/>
      <c r="S934" s="437"/>
      <c r="T934" s="437"/>
      <c r="U934" s="441"/>
    </row>
    <row r="935" spans="1:21" s="232" customFormat="1" ht="20.100000000000001" customHeight="1" x14ac:dyDescent="0.2">
      <c r="A935" s="425"/>
      <c r="B935" s="231"/>
      <c r="C935" s="231"/>
      <c r="D935" s="999" t="s">
        <v>19</v>
      </c>
      <c r="E935" s="1000"/>
      <c r="F935" s="1000"/>
      <c r="G935" s="1000"/>
      <c r="H935" s="1000"/>
      <c r="I935" s="1000"/>
      <c r="J935" s="1001"/>
      <c r="K935" s="425"/>
      <c r="L935" s="443"/>
      <c r="M935" s="444"/>
      <c r="N935" s="444"/>
      <c r="O935" s="1002" t="s">
        <v>19</v>
      </c>
      <c r="P935" s="1003"/>
      <c r="Q935" s="1003"/>
      <c r="R935" s="1003"/>
      <c r="S935" s="1003"/>
      <c r="T935" s="1003"/>
      <c r="U935" s="1004"/>
    </row>
    <row r="936" spans="1:21" s="232" customFormat="1" ht="20.100000000000001" customHeight="1" x14ac:dyDescent="0.2">
      <c r="A936" s="992" t="s">
        <v>86</v>
      </c>
      <c r="B936" s="993"/>
      <c r="C936" s="993"/>
      <c r="D936" s="467">
        <v>1</v>
      </c>
      <c r="E936" s="467">
        <v>2</v>
      </c>
      <c r="F936" s="467">
        <v>3</v>
      </c>
      <c r="G936" s="467">
        <v>4</v>
      </c>
      <c r="H936" s="467">
        <v>5</v>
      </c>
      <c r="I936" s="467">
        <v>6</v>
      </c>
      <c r="J936" s="467">
        <v>7</v>
      </c>
      <c r="K936" s="425"/>
      <c r="L936" s="992" t="s">
        <v>86</v>
      </c>
      <c r="M936" s="993"/>
      <c r="N936" s="993"/>
      <c r="O936" s="445">
        <v>1</v>
      </c>
      <c r="P936" s="445">
        <v>2</v>
      </c>
      <c r="Q936" s="445">
        <v>3</v>
      </c>
      <c r="R936" s="445">
        <v>4</v>
      </c>
      <c r="S936" s="446">
        <v>5</v>
      </c>
      <c r="T936" s="497">
        <v>6</v>
      </c>
      <c r="U936" s="446">
        <v>7</v>
      </c>
    </row>
    <row r="937" spans="1:21" s="232" customFormat="1" ht="20.100000000000001" customHeight="1" x14ac:dyDescent="0.2">
      <c r="A937" s="500"/>
      <c r="B937" s="501"/>
      <c r="C937" s="501"/>
      <c r="D937" s="994" t="s">
        <v>92</v>
      </c>
      <c r="E937" s="995"/>
      <c r="F937" s="995"/>
      <c r="G937" s="995"/>
      <c r="H937" s="995"/>
      <c r="I937" s="995"/>
      <c r="J937" s="996"/>
      <c r="K937" s="425"/>
      <c r="L937" s="500"/>
      <c r="M937" s="501"/>
      <c r="N937" s="501"/>
      <c r="O937" s="994" t="s">
        <v>92</v>
      </c>
      <c r="P937" s="995"/>
      <c r="Q937" s="995"/>
      <c r="R937" s="995"/>
      <c r="S937" s="995"/>
      <c r="T937" s="995"/>
      <c r="U937" s="996"/>
    </row>
    <row r="938" spans="1:21" s="232" customFormat="1" ht="18.75" x14ac:dyDescent="0.2">
      <c r="A938" s="498">
        <f>Tableau!AQ19</f>
        <v>0</v>
      </c>
      <c r="B938" s="231"/>
      <c r="C938" s="231"/>
      <c r="D938" s="447"/>
      <c r="E938" s="447"/>
      <c r="F938" s="447"/>
      <c r="G938" s="447"/>
      <c r="H938" s="447"/>
      <c r="I938" s="447"/>
      <c r="J938" s="447"/>
      <c r="K938" s="425"/>
      <c r="L938" s="498" t="str">
        <f>Tableau!AL58</f>
        <v/>
      </c>
      <c r="M938" s="231"/>
      <c r="N938" s="231"/>
      <c r="O938" s="448"/>
      <c r="P938" s="448"/>
      <c r="Q938" s="448"/>
      <c r="R938" s="448"/>
      <c r="S938" s="448"/>
      <c r="T938" s="449"/>
      <c r="U938" s="448"/>
    </row>
    <row r="939" spans="1:21" s="232" customFormat="1" ht="20.100000000000001" customHeight="1" x14ac:dyDescent="0.2">
      <c r="A939" s="990" t="e">
        <f>IF(A938="","",VLOOKUP(A938,liste!$A$9:$G$145,2,FALSE))</f>
        <v>#N/A</v>
      </c>
      <c r="B939" s="991" t="e">
        <v>#N/A</v>
      </c>
      <c r="C939" s="991" t="e">
        <v>#N/A</v>
      </c>
      <c r="D939" s="447"/>
      <c r="E939" s="447"/>
      <c r="F939" s="447"/>
      <c r="G939" s="447"/>
      <c r="H939" s="447"/>
      <c r="I939" s="447"/>
      <c r="J939" s="447"/>
      <c r="K939" s="425"/>
      <c r="L939" s="990" t="str">
        <f>IF(L938="","",VLOOKUP(L938,liste!$A$9:$G$145,2,FALSE))</f>
        <v/>
      </c>
      <c r="M939" s="991" t="s">
        <v>288</v>
      </c>
      <c r="N939" s="991" t="s">
        <v>288</v>
      </c>
      <c r="O939" s="447"/>
      <c r="P939" s="447"/>
      <c r="Q939" s="447"/>
      <c r="R939" s="447"/>
      <c r="S939" s="447"/>
      <c r="T939" s="428"/>
      <c r="U939" s="447"/>
    </row>
    <row r="940" spans="1:21" s="232" customFormat="1" ht="20.100000000000001" customHeight="1" x14ac:dyDescent="0.2">
      <c r="A940" s="425"/>
      <c r="B940" s="231"/>
      <c r="C940" s="450" t="e">
        <f>IF(A938="","",VLOOKUP(A938,liste!$A$9:$G$145,4,FALSE))</f>
        <v>#N/A</v>
      </c>
      <c r="D940" s="451"/>
      <c r="E940" s="451"/>
      <c r="F940" s="451"/>
      <c r="G940" s="451"/>
      <c r="H940" s="451"/>
      <c r="I940" s="451"/>
      <c r="J940" s="451"/>
      <c r="K940" s="425"/>
      <c r="L940" s="425"/>
      <c r="M940" s="231"/>
      <c r="N940" s="450" t="str">
        <f>IF(L938="","",VLOOKUP(L938,liste!$A$9:$G$145,4,FALSE))</f>
        <v/>
      </c>
      <c r="O940" s="451"/>
      <c r="P940" s="451"/>
      <c r="Q940" s="451"/>
      <c r="R940" s="451"/>
      <c r="S940" s="451"/>
      <c r="T940" s="452"/>
      <c r="U940" s="451"/>
    </row>
    <row r="941" spans="1:21" s="232" customFormat="1" ht="15.75" x14ac:dyDescent="0.2">
      <c r="A941" s="453" t="e">
        <f>IF(A938="","",VLOOKUP(A938,liste!$A$9:$G$145,3,FALSE))</f>
        <v>#N/A</v>
      </c>
      <c r="B941" s="231"/>
      <c r="C941" s="231"/>
      <c r="D941" s="455"/>
      <c r="E941" s="455"/>
      <c r="F941" s="455"/>
      <c r="G941" s="455"/>
      <c r="H941" s="455"/>
      <c r="I941" s="455"/>
      <c r="J941" s="455"/>
      <c r="K941" s="425"/>
      <c r="L941" s="453" t="str">
        <f>IF(L938="","",VLOOKUP(L938,liste!$A$9:$G$145,3,FALSE))</f>
        <v/>
      </c>
      <c r="M941" s="231"/>
      <c r="N941" s="231"/>
      <c r="O941" s="454"/>
      <c r="P941" s="454"/>
      <c r="Q941" s="454"/>
      <c r="R941" s="454"/>
      <c r="S941" s="454"/>
      <c r="T941" s="456"/>
      <c r="U941" s="454"/>
    </row>
    <row r="942" spans="1:21" s="232" customFormat="1" ht="12.75" x14ac:dyDescent="0.2">
      <c r="A942" s="425"/>
      <c r="B942" s="230" t="s">
        <v>9</v>
      </c>
      <c r="C942" s="231"/>
      <c r="D942" s="458"/>
      <c r="E942" s="458"/>
      <c r="F942" s="458"/>
      <c r="G942" s="458"/>
      <c r="H942" s="458"/>
      <c r="I942" s="458"/>
      <c r="J942" s="458"/>
      <c r="K942" s="425"/>
      <c r="L942" s="425"/>
      <c r="M942" s="230" t="s">
        <v>9</v>
      </c>
      <c r="N942" s="231"/>
      <c r="O942" s="457"/>
      <c r="P942" s="457"/>
      <c r="Q942" s="457"/>
      <c r="R942" s="457"/>
      <c r="S942" s="457"/>
      <c r="T942" s="459"/>
      <c r="U942" s="457"/>
    </row>
    <row r="943" spans="1:21" s="232" customFormat="1" ht="18.75" x14ac:dyDescent="0.2">
      <c r="A943" s="498">
        <f>Tableau!AQ39</f>
        <v>0</v>
      </c>
      <c r="B943" s="231"/>
      <c r="C943" s="231"/>
      <c r="D943" s="448"/>
      <c r="E943" s="448"/>
      <c r="F943" s="448"/>
      <c r="G943" s="448"/>
      <c r="H943" s="448"/>
      <c r="I943" s="448"/>
      <c r="J943" s="448"/>
      <c r="K943" s="425"/>
      <c r="L943" s="498" t="str">
        <f>Tableau!AL60</f>
        <v/>
      </c>
      <c r="M943" s="231"/>
      <c r="N943" s="231"/>
      <c r="O943" s="448"/>
      <c r="P943" s="448"/>
      <c r="Q943" s="448"/>
      <c r="R943" s="448"/>
      <c r="S943" s="448"/>
      <c r="T943" s="449"/>
      <c r="U943" s="448"/>
    </row>
    <row r="944" spans="1:21" s="232" customFormat="1" ht="20.100000000000001" customHeight="1" x14ac:dyDescent="0.2">
      <c r="A944" s="990" t="e">
        <f>IF(A943="","",VLOOKUP(A943,liste!$A$9:$G$145,2,FALSE))</f>
        <v>#N/A</v>
      </c>
      <c r="B944" s="991" t="e">
        <v>#N/A</v>
      </c>
      <c r="C944" s="991" t="e">
        <v>#N/A</v>
      </c>
      <c r="D944" s="447"/>
      <c r="E944" s="447"/>
      <c r="F944" s="447"/>
      <c r="G944" s="447"/>
      <c r="H944" s="447"/>
      <c r="I944" s="447"/>
      <c r="J944" s="447"/>
      <c r="K944" s="425"/>
      <c r="L944" s="990" t="str">
        <f>IF(L943="","",VLOOKUP(L943,liste!$A$9:$G$145,2,FALSE))</f>
        <v/>
      </c>
      <c r="M944" s="991" t="s">
        <v>288</v>
      </c>
      <c r="N944" s="991" t="s">
        <v>288</v>
      </c>
      <c r="O944" s="447"/>
      <c r="P944" s="447"/>
      <c r="Q944" s="447"/>
      <c r="R944" s="447"/>
      <c r="S944" s="447"/>
      <c r="T944" s="428"/>
      <c r="U944" s="447"/>
    </row>
    <row r="945" spans="1:21" s="232" customFormat="1" ht="20.100000000000001" customHeight="1" x14ac:dyDescent="0.2">
      <c r="A945" s="425"/>
      <c r="B945" s="231"/>
      <c r="C945" s="460" t="e">
        <f>IF(A943="","",VLOOKUP(A943,liste!$A$9:$G$145,4,FALSE))</f>
        <v>#N/A</v>
      </c>
      <c r="D945" s="451"/>
      <c r="E945" s="451"/>
      <c r="F945" s="451"/>
      <c r="G945" s="451"/>
      <c r="H945" s="451"/>
      <c r="I945" s="451"/>
      <c r="J945" s="451"/>
      <c r="K945" s="425"/>
      <c r="L945" s="425"/>
      <c r="M945" s="231"/>
      <c r="N945" s="460" t="str">
        <f>IF(L943="","",VLOOKUP(L943,liste!$A$9:$G$145,4,FALSE))</f>
        <v/>
      </c>
      <c r="O945" s="451"/>
      <c r="P945" s="451"/>
      <c r="Q945" s="451"/>
      <c r="R945" s="451"/>
      <c r="S945" s="451"/>
      <c r="T945" s="452"/>
      <c r="U945" s="451"/>
    </row>
    <row r="946" spans="1:21" s="232" customFormat="1" ht="15.75" x14ac:dyDescent="0.2">
      <c r="A946" s="453" t="e">
        <f>IF(A943="","",VLOOKUP(A943,liste!$A$9:$G$145,3,FALSE))</f>
        <v>#N/A</v>
      </c>
      <c r="B946" s="231"/>
      <c r="C946" s="231"/>
      <c r="D946" s="455"/>
      <c r="E946" s="455"/>
      <c r="F946" s="455"/>
      <c r="G946" s="455"/>
      <c r="H946" s="455"/>
      <c r="I946" s="455"/>
      <c r="J946" s="455"/>
      <c r="K946" s="425"/>
      <c r="L946" s="453" t="str">
        <f>IF(L943="","",VLOOKUP(L943,liste!$A$9:$G$145,3,FALSE))</f>
        <v/>
      </c>
      <c r="M946" s="231"/>
      <c r="N946" s="231"/>
      <c r="O946" s="454"/>
      <c r="P946" s="454"/>
      <c r="Q946" s="454"/>
      <c r="R946" s="454"/>
      <c r="S946" s="454"/>
      <c r="T946" s="456"/>
      <c r="U946" s="454"/>
    </row>
    <row r="947" spans="1:21" s="232" customFormat="1" ht="12.75" x14ac:dyDescent="0.2">
      <c r="A947" s="425"/>
      <c r="B947" s="231"/>
      <c r="C947" s="231"/>
      <c r="D947" s="458"/>
      <c r="E947" s="458"/>
      <c r="F947" s="458"/>
      <c r="G947" s="458"/>
      <c r="H947" s="458"/>
      <c r="I947" s="458"/>
      <c r="J947" s="458"/>
      <c r="K947" s="425"/>
      <c r="L947" s="425"/>
      <c r="M947" s="231"/>
      <c r="N947" s="231"/>
      <c r="O947" s="457"/>
      <c r="P947" s="457"/>
      <c r="Q947" s="457"/>
      <c r="R947" s="457"/>
      <c r="S947" s="457"/>
      <c r="T947" s="459"/>
      <c r="U947" s="457"/>
    </row>
    <row r="948" spans="1:21" s="232" customFormat="1" ht="12.75" x14ac:dyDescent="0.2">
      <c r="A948" s="425"/>
      <c r="B948" s="231"/>
      <c r="C948" s="231"/>
      <c r="D948" s="231"/>
      <c r="E948" s="231"/>
      <c r="F948" s="231"/>
      <c r="G948" s="231"/>
      <c r="H948" s="231"/>
      <c r="I948" s="231"/>
      <c r="J948" s="428"/>
      <c r="K948" s="425"/>
      <c r="L948" s="425"/>
      <c r="M948" s="231"/>
      <c r="N948" s="231"/>
      <c r="O948" s="231"/>
      <c r="P948" s="231"/>
      <c r="Q948" s="231"/>
      <c r="R948" s="231"/>
      <c r="S948" s="231"/>
      <c r="T948" s="231"/>
      <c r="U948" s="428"/>
    </row>
    <row r="949" spans="1:21" s="232" customFormat="1" ht="20.100000000000001" customHeight="1" x14ac:dyDescent="0.2">
      <c r="A949" s="988" t="s">
        <v>90</v>
      </c>
      <c r="B949" s="989"/>
      <c r="C949" s="989"/>
      <c r="D949" s="461" t="s">
        <v>77</v>
      </c>
      <c r="E949" s="461" t="s">
        <v>87</v>
      </c>
      <c r="F949" s="461" t="s">
        <v>88</v>
      </c>
      <c r="G949" s="231"/>
      <c r="H949" s="231"/>
      <c r="I949" s="231"/>
      <c r="J949" s="428"/>
      <c r="K949" s="425"/>
      <c r="L949" s="988" t="s">
        <v>90</v>
      </c>
      <c r="M949" s="989"/>
      <c r="N949" s="989"/>
      <c r="O949" s="461" t="s">
        <v>77</v>
      </c>
      <c r="P949" s="461" t="s">
        <v>87</v>
      </c>
      <c r="Q949" s="461" t="s">
        <v>88</v>
      </c>
      <c r="R949" s="231"/>
      <c r="S949" s="231"/>
      <c r="T949" s="231"/>
      <c r="U949" s="428"/>
    </row>
    <row r="950" spans="1:21" s="232" customFormat="1" ht="20.100000000000001" customHeight="1" x14ac:dyDescent="0.2">
      <c r="A950" s="462" t="e">
        <f>A939</f>
        <v>#N/A</v>
      </c>
      <c r="B950" s="426"/>
      <c r="C950" s="449"/>
      <c r="D950" s="448"/>
      <c r="E950" s="448"/>
      <c r="F950" s="448"/>
      <c r="G950" s="231"/>
      <c r="H950" s="231"/>
      <c r="I950" s="231"/>
      <c r="J950" s="428"/>
      <c r="K950" s="425"/>
      <c r="L950" s="462" t="str">
        <f>L939</f>
        <v/>
      </c>
      <c r="M950" s="426"/>
      <c r="N950" s="449"/>
      <c r="O950" s="448"/>
      <c r="P950" s="448"/>
      <c r="Q950" s="448"/>
      <c r="R950" s="231"/>
      <c r="S950" s="231"/>
      <c r="T950" s="231"/>
      <c r="U950" s="428"/>
    </row>
    <row r="951" spans="1:21" s="232" customFormat="1" ht="20.100000000000001" customHeight="1" x14ac:dyDescent="0.2">
      <c r="A951" s="463"/>
      <c r="B951" s="233"/>
      <c r="C951" s="452"/>
      <c r="D951" s="451"/>
      <c r="E951" s="451"/>
      <c r="F951" s="451"/>
      <c r="G951" s="231"/>
      <c r="H951" s="231"/>
      <c r="I951" s="231"/>
      <c r="J951" s="428"/>
      <c r="K951" s="425"/>
      <c r="L951" s="463"/>
      <c r="M951" s="233"/>
      <c r="N951" s="452"/>
      <c r="O951" s="451"/>
      <c r="P951" s="451"/>
      <c r="Q951" s="451"/>
      <c r="R951" s="231"/>
      <c r="S951" s="231"/>
      <c r="T951" s="231"/>
      <c r="U951" s="428"/>
    </row>
    <row r="952" spans="1:21" s="232" customFormat="1" ht="20.100000000000001" customHeight="1" x14ac:dyDescent="0.2">
      <c r="A952" s="462" t="e">
        <f>A944</f>
        <v>#N/A</v>
      </c>
      <c r="B952" s="426"/>
      <c r="C952" s="449"/>
      <c r="D952" s="448"/>
      <c r="E952" s="448"/>
      <c r="F952" s="448"/>
      <c r="G952" s="231"/>
      <c r="H952" s="231"/>
      <c r="I952" s="231"/>
      <c r="J952" s="428"/>
      <c r="K952" s="425"/>
      <c r="L952" s="462" t="str">
        <f>L944</f>
        <v/>
      </c>
      <c r="M952" s="426"/>
      <c r="N952" s="449"/>
      <c r="O952" s="448"/>
      <c r="P952" s="448"/>
      <c r="Q952" s="448"/>
      <c r="R952" s="231"/>
      <c r="S952" s="231"/>
      <c r="T952" s="231"/>
      <c r="U952" s="428"/>
    </row>
    <row r="953" spans="1:21" s="232" customFormat="1" ht="20.100000000000001" customHeight="1" x14ac:dyDescent="0.2">
      <c r="A953" s="463"/>
      <c r="B953" s="233"/>
      <c r="C953" s="452"/>
      <c r="D953" s="451"/>
      <c r="E953" s="451"/>
      <c r="F953" s="451"/>
      <c r="G953" s="231"/>
      <c r="H953" s="231"/>
      <c r="I953" s="231"/>
      <c r="J953" s="428"/>
      <c r="K953" s="425"/>
      <c r="L953" s="463"/>
      <c r="M953" s="233"/>
      <c r="N953" s="452"/>
      <c r="O953" s="451"/>
      <c r="P953" s="451"/>
      <c r="Q953" s="451"/>
      <c r="R953" s="231"/>
      <c r="S953" s="231"/>
      <c r="T953" s="231"/>
      <c r="U953" s="428"/>
    </row>
    <row r="954" spans="1:21" s="232" customFormat="1" ht="12.75" x14ac:dyDescent="0.2">
      <c r="A954" s="464" t="s">
        <v>91</v>
      </c>
      <c r="B954" s="231"/>
      <c r="C954" s="231"/>
      <c r="D954" s="231"/>
      <c r="E954" s="231"/>
      <c r="F954" s="231"/>
      <c r="G954" s="231"/>
      <c r="H954" s="231"/>
      <c r="I954" s="231"/>
      <c r="J954" s="428"/>
      <c r="K954" s="425"/>
      <c r="L954" s="464" t="s">
        <v>91</v>
      </c>
      <c r="M954" s="231"/>
      <c r="N954" s="231"/>
      <c r="O954" s="231"/>
      <c r="P954" s="231"/>
      <c r="Q954" s="231"/>
      <c r="R954" s="231"/>
      <c r="S954" s="231"/>
      <c r="T954" s="231"/>
      <c r="U954" s="428"/>
    </row>
    <row r="955" spans="1:21" s="232" customFormat="1" ht="12.75" x14ac:dyDescent="0.2">
      <c r="A955" s="425"/>
      <c r="B955" s="231"/>
      <c r="C955" s="231"/>
      <c r="D955" s="231"/>
      <c r="E955" s="231"/>
      <c r="F955" s="231"/>
      <c r="G955" s="231"/>
      <c r="H955" s="231"/>
      <c r="I955" s="231"/>
      <c r="J955" s="428"/>
      <c r="K955" s="425"/>
      <c r="L955" s="425"/>
      <c r="M955" s="231"/>
      <c r="N955" s="231"/>
      <c r="O955" s="231"/>
      <c r="P955" s="231"/>
      <c r="Q955" s="231"/>
      <c r="R955" s="231"/>
      <c r="S955" s="231"/>
      <c r="T955" s="231"/>
      <c r="U955" s="428"/>
    </row>
    <row r="956" spans="1:21" s="232" customFormat="1" ht="12.75" x14ac:dyDescent="0.2">
      <c r="A956" s="465" t="s">
        <v>89</v>
      </c>
      <c r="B956" s="233"/>
      <c r="C956" s="233"/>
      <c r="D956" s="233"/>
      <c r="E956" s="233"/>
      <c r="F956" s="233"/>
      <c r="G956" s="233"/>
      <c r="H956" s="233"/>
      <c r="I956" s="233"/>
      <c r="J956" s="452"/>
      <c r="K956" s="425"/>
      <c r="L956" s="465" t="s">
        <v>89</v>
      </c>
      <c r="M956" s="233"/>
      <c r="N956" s="233"/>
      <c r="O956" s="233"/>
      <c r="P956" s="233"/>
      <c r="Q956" s="233"/>
      <c r="R956" s="233"/>
      <c r="S956" s="233"/>
      <c r="T956" s="233"/>
      <c r="U956" s="452"/>
    </row>
    <row r="957" spans="1:21" s="232" customFormat="1" ht="30" customHeight="1" x14ac:dyDescent="0.2"/>
    <row r="958" spans="1:21" s="232" customFormat="1" ht="30" customHeight="1" x14ac:dyDescent="0.2"/>
    <row r="959" spans="1:21" s="232" customFormat="1" ht="20.100000000000001" customHeight="1" x14ac:dyDescent="0.2">
      <c r="A959" s="1005" t="str">
        <f>$A$1</f>
        <v>Circuit décathlon</v>
      </c>
      <c r="B959" s="1006"/>
      <c r="C959" s="1006"/>
      <c r="D959" s="1006"/>
      <c r="E959" s="1006"/>
      <c r="F959" s="1006"/>
      <c r="G959" s="1006"/>
      <c r="H959" s="1006"/>
      <c r="I959" s="1006"/>
      <c r="J959" s="1007"/>
      <c r="K959" s="425"/>
      <c r="L959" s="1005" t="str">
        <f>$A$1</f>
        <v>Circuit décathlon</v>
      </c>
      <c r="M959" s="1006"/>
      <c r="N959" s="1006"/>
      <c r="O959" s="1006"/>
      <c r="P959" s="1006"/>
      <c r="Q959" s="1006"/>
      <c r="R959" s="1006"/>
      <c r="S959" s="1006"/>
      <c r="T959" s="426"/>
      <c r="U959" s="449"/>
    </row>
    <row r="960" spans="1:21" s="232" customFormat="1" ht="15.75" x14ac:dyDescent="0.2">
      <c r="A960" s="425"/>
      <c r="B960" s="231"/>
      <c r="C960" s="231"/>
      <c r="D960" s="427" t="s">
        <v>83</v>
      </c>
      <c r="E960" s="474">
        <f>Rens!J57</f>
        <v>0</v>
      </c>
      <c r="F960" s="474"/>
      <c r="G960" s="231"/>
      <c r="H960" s="231"/>
      <c r="I960" s="231"/>
      <c r="J960" s="428"/>
      <c r="K960" s="425"/>
      <c r="L960" s="425"/>
      <c r="M960" s="231"/>
      <c r="N960" s="231"/>
      <c r="O960" s="427" t="s">
        <v>83</v>
      </c>
      <c r="P960" s="474">
        <f>Rens!J58</f>
        <v>0</v>
      </c>
      <c r="Q960" s="474"/>
      <c r="R960" s="231"/>
      <c r="S960" s="231"/>
      <c r="T960" s="231"/>
      <c r="U960" s="428"/>
    </row>
    <row r="961" spans="1:21" s="343" customFormat="1" ht="18.75" x14ac:dyDescent="0.2">
      <c r="A961" s="429" t="s">
        <v>84</v>
      </c>
      <c r="B961" s="430" t="str">
        <f>$B$3</f>
        <v>Minimes</v>
      </c>
      <c r="C961" s="345"/>
      <c r="D961" s="345"/>
      <c r="E961" s="345"/>
      <c r="F961" s="345"/>
      <c r="G961" s="345"/>
      <c r="H961" s="345"/>
      <c r="I961" s="345"/>
      <c r="J961" s="431"/>
      <c r="K961" s="432"/>
      <c r="L961" s="429" t="s">
        <v>84</v>
      </c>
      <c r="M961" s="430" t="str">
        <f>$B$3</f>
        <v>Minimes</v>
      </c>
      <c r="N961" s="345"/>
      <c r="O961" s="345"/>
      <c r="P961" s="345"/>
      <c r="Q961" s="345"/>
      <c r="R961" s="345"/>
      <c r="S961" s="345"/>
      <c r="T961" s="345"/>
      <c r="U961" s="431"/>
    </row>
    <row r="962" spans="1:21" s="343" customFormat="1" ht="18.75" x14ac:dyDescent="0.2">
      <c r="A962" s="997" t="s">
        <v>262</v>
      </c>
      <c r="B962" s="998"/>
      <c r="C962" s="998"/>
      <c r="D962" s="998"/>
      <c r="E962" s="345"/>
      <c r="F962" s="345"/>
      <c r="G962" s="430"/>
      <c r="H962" s="430"/>
      <c r="I962" s="345"/>
      <c r="J962" s="431"/>
      <c r="K962" s="432"/>
      <c r="L962" s="997" t="s">
        <v>263</v>
      </c>
      <c r="M962" s="998"/>
      <c r="N962" s="998"/>
      <c r="O962" s="998"/>
      <c r="P962" s="345"/>
      <c r="Q962" s="345"/>
      <c r="R962" s="466"/>
      <c r="S962" s="430"/>
      <c r="T962" s="466"/>
      <c r="U962" s="433"/>
    </row>
    <row r="963" spans="1:21" s="343" customFormat="1" ht="23.25" x14ac:dyDescent="0.2">
      <c r="A963" s="432"/>
      <c r="B963" s="434" t="str">
        <f>Tableau!P36</f>
        <v/>
      </c>
      <c r="C963" s="345"/>
      <c r="D963" s="345"/>
      <c r="E963" s="344" t="s">
        <v>178</v>
      </c>
      <c r="F963" s="234">
        <f>Rens!K57</f>
        <v>0</v>
      </c>
      <c r="G963" s="345"/>
      <c r="H963" s="345"/>
      <c r="I963" s="345"/>
      <c r="J963" s="431"/>
      <c r="K963" s="432"/>
      <c r="L963" s="432"/>
      <c r="M963" s="434" t="str">
        <f>Tableau!P32</f>
        <v/>
      </c>
      <c r="N963" s="345"/>
      <c r="O963" s="345"/>
      <c r="P963" s="344" t="s">
        <v>178</v>
      </c>
      <c r="Q963" s="479">
        <f>Rens!K58</f>
        <v>0</v>
      </c>
      <c r="R963" s="345"/>
      <c r="S963" s="345"/>
      <c r="T963" s="345"/>
      <c r="U963" s="431"/>
    </row>
    <row r="964" spans="1:21" s="442" customFormat="1" ht="15.75" x14ac:dyDescent="0.2">
      <c r="A964" s="435" t="s">
        <v>85</v>
      </c>
      <c r="B964" s="436" t="str">
        <f>IF(B963="","",VLOOKUP(B963,liste!$A$9:$G$145,2,FALSE))</f>
        <v/>
      </c>
      <c r="C964" s="437"/>
      <c r="D964" s="437"/>
      <c r="E964" s="437"/>
      <c r="F964" s="437"/>
      <c r="G964" s="437"/>
      <c r="H964" s="437"/>
      <c r="I964" s="438"/>
      <c r="J964" s="439"/>
      <c r="K964" s="440"/>
      <c r="L964" s="435" t="s">
        <v>85</v>
      </c>
      <c r="M964" s="436" t="str">
        <f>IF(M963="","",VLOOKUP(M963,liste!$A$9:$G$145,2,FALSE))</f>
        <v/>
      </c>
      <c r="N964" s="437"/>
      <c r="O964" s="437"/>
      <c r="P964" s="437"/>
      <c r="Q964" s="437"/>
      <c r="R964" s="437"/>
      <c r="S964" s="437"/>
      <c r="T964" s="437"/>
      <c r="U964" s="441"/>
    </row>
    <row r="965" spans="1:21" s="232" customFormat="1" ht="20.100000000000001" customHeight="1" x14ac:dyDescent="0.2">
      <c r="A965" s="425"/>
      <c r="D965" s="999" t="s">
        <v>19</v>
      </c>
      <c r="E965" s="1000"/>
      <c r="F965" s="1000"/>
      <c r="G965" s="1000"/>
      <c r="H965" s="1000"/>
      <c r="I965" s="1000"/>
      <c r="J965" s="1001"/>
      <c r="K965" s="425"/>
      <c r="L965" s="443"/>
      <c r="M965" s="444"/>
      <c r="N965" s="444"/>
      <c r="O965" s="1002" t="s">
        <v>19</v>
      </c>
      <c r="P965" s="1003"/>
      <c r="Q965" s="1003"/>
      <c r="R965" s="1003"/>
      <c r="S965" s="1003"/>
      <c r="T965" s="1003"/>
      <c r="U965" s="1004"/>
    </row>
    <row r="966" spans="1:21" s="232" customFormat="1" ht="20.100000000000001" customHeight="1" x14ac:dyDescent="0.2">
      <c r="A966" s="992" t="s">
        <v>86</v>
      </c>
      <c r="B966" s="993"/>
      <c r="C966" s="993"/>
      <c r="D966" s="467">
        <v>1</v>
      </c>
      <c r="E966" s="467">
        <v>2</v>
      </c>
      <c r="F966" s="467">
        <v>3</v>
      </c>
      <c r="G966" s="467">
        <v>4</v>
      </c>
      <c r="H966" s="467">
        <v>5</v>
      </c>
      <c r="I966" s="467">
        <v>6</v>
      </c>
      <c r="J966" s="467">
        <v>7</v>
      </c>
      <c r="K966" s="425"/>
      <c r="L966" s="992" t="s">
        <v>86</v>
      </c>
      <c r="M966" s="993"/>
      <c r="N966" s="993"/>
      <c r="O966" s="445">
        <v>1</v>
      </c>
      <c r="P966" s="445">
        <v>2</v>
      </c>
      <c r="Q966" s="445">
        <v>3</v>
      </c>
      <c r="R966" s="445">
        <v>4</v>
      </c>
      <c r="S966" s="446">
        <v>5</v>
      </c>
      <c r="T966" s="497">
        <v>6</v>
      </c>
      <c r="U966" s="446">
        <v>7</v>
      </c>
    </row>
    <row r="967" spans="1:21" s="232" customFormat="1" ht="20.100000000000001" customHeight="1" x14ac:dyDescent="0.2">
      <c r="A967" s="500"/>
      <c r="B967" s="501"/>
      <c r="C967" s="501"/>
      <c r="D967" s="994" t="s">
        <v>92</v>
      </c>
      <c r="E967" s="995"/>
      <c r="F967" s="995"/>
      <c r="G967" s="995"/>
      <c r="H967" s="995"/>
      <c r="I967" s="995"/>
      <c r="J967" s="996"/>
      <c r="K967" s="425"/>
      <c r="L967" s="500"/>
      <c r="M967" s="501"/>
      <c r="N967" s="501"/>
      <c r="O967" s="994" t="s">
        <v>92</v>
      </c>
      <c r="P967" s="995"/>
      <c r="Q967" s="995"/>
      <c r="R967" s="995"/>
      <c r="S967" s="995"/>
      <c r="T967" s="995"/>
      <c r="U967" s="996"/>
    </row>
    <row r="968" spans="1:21" s="232" customFormat="1" ht="18.75" x14ac:dyDescent="0.2">
      <c r="A968" s="498">
        <f>Tableau!AR66</f>
        <v>0</v>
      </c>
      <c r="C968" s="231"/>
      <c r="D968" s="448"/>
      <c r="E968" s="448"/>
      <c r="F968" s="448"/>
      <c r="G968" s="448"/>
      <c r="H968" s="448"/>
      <c r="I968" s="448"/>
      <c r="J968" s="448"/>
      <c r="K968" s="425"/>
      <c r="L968" s="498" t="str">
        <f>Tableau!AH66</f>
        <v/>
      </c>
      <c r="M968" s="231"/>
      <c r="N968" s="231"/>
      <c r="O968" s="448"/>
      <c r="P968" s="448"/>
      <c r="Q968" s="448"/>
      <c r="R968" s="448"/>
      <c r="S968" s="448"/>
      <c r="T968" s="449"/>
      <c r="U968" s="448"/>
    </row>
    <row r="969" spans="1:21" s="232" customFormat="1" ht="20.100000000000001" customHeight="1" x14ac:dyDescent="0.2">
      <c r="A969" s="990" t="e">
        <f>IF(A968="","",VLOOKUP(A968,liste!$A$9:$G$145,2,FALSE))</f>
        <v>#N/A</v>
      </c>
      <c r="B969" s="991" t="e">
        <v>#N/A</v>
      </c>
      <c r="C969" s="991" t="e">
        <v>#N/A</v>
      </c>
      <c r="D969" s="447"/>
      <c r="E969" s="447"/>
      <c r="F969" s="447"/>
      <c r="G969" s="447"/>
      <c r="H969" s="447"/>
      <c r="I969" s="447"/>
      <c r="J969" s="447"/>
      <c r="K969" s="425"/>
      <c r="L969" s="990" t="str">
        <f>IF(L968="","",VLOOKUP(L968,liste!$A$9:$G$145,2,FALSE))</f>
        <v/>
      </c>
      <c r="M969" s="991" t="s">
        <v>288</v>
      </c>
      <c r="N969" s="991" t="s">
        <v>288</v>
      </c>
      <c r="O969" s="447"/>
      <c r="P969" s="447"/>
      <c r="Q969" s="447"/>
      <c r="R969" s="447"/>
      <c r="S969" s="447"/>
      <c r="T969" s="428"/>
      <c r="U969" s="447"/>
    </row>
    <row r="970" spans="1:21" s="232" customFormat="1" ht="20.100000000000001" customHeight="1" x14ac:dyDescent="0.2">
      <c r="A970" s="440"/>
      <c r="B970" s="438"/>
      <c r="C970" s="450" t="e">
        <f>IF(A968="","",VLOOKUP(A968,liste!$A$9:$G$145,4,FALSE))</f>
        <v>#N/A</v>
      </c>
      <c r="D970" s="451"/>
      <c r="E970" s="451"/>
      <c r="F970" s="451"/>
      <c r="G970" s="451"/>
      <c r="H970" s="451"/>
      <c r="I970" s="451"/>
      <c r="J970" s="451"/>
      <c r="K970" s="425"/>
      <c r="L970" s="440"/>
      <c r="M970" s="438"/>
      <c r="N970" s="450" t="str">
        <f>IF(L968="","",VLOOKUP(L968,liste!$A$9:$G$145,4,FALSE))</f>
        <v/>
      </c>
      <c r="O970" s="451"/>
      <c r="P970" s="451"/>
      <c r="Q970" s="451"/>
      <c r="R970" s="451"/>
      <c r="S970" s="451"/>
      <c r="T970" s="452"/>
      <c r="U970" s="451"/>
    </row>
    <row r="971" spans="1:21" s="232" customFormat="1" ht="15.75" x14ac:dyDescent="0.2">
      <c r="A971" s="468" t="e">
        <f>IF(A968="","",VLOOKUP(A968,liste!$A$9:$G$145,3,FALSE))</f>
        <v>#N/A</v>
      </c>
      <c r="B971" s="438"/>
      <c r="C971" s="438"/>
      <c r="D971" s="455"/>
      <c r="E971" s="455"/>
      <c r="F971" s="455"/>
      <c r="G971" s="455"/>
      <c r="H971" s="455"/>
      <c r="I971" s="455"/>
      <c r="J971" s="455"/>
      <c r="K971" s="425"/>
      <c r="L971" s="468" t="str">
        <f>IF(L968="","",VLOOKUP(L968,liste!$A$9:$G$145,3,FALSE))</f>
        <v/>
      </c>
      <c r="M971" s="438"/>
      <c r="N971" s="438"/>
      <c r="O971" s="454"/>
      <c r="P971" s="454"/>
      <c r="Q971" s="454"/>
      <c r="R971" s="454"/>
      <c r="S971" s="454"/>
      <c r="T971" s="456"/>
      <c r="U971" s="454"/>
    </row>
    <row r="972" spans="1:21" s="232" customFormat="1" ht="12.75" x14ac:dyDescent="0.2">
      <c r="A972" s="425"/>
      <c r="B972" s="230" t="s">
        <v>9</v>
      </c>
      <c r="C972" s="231"/>
      <c r="D972" s="458"/>
      <c r="E972" s="458"/>
      <c r="F972" s="458"/>
      <c r="G972" s="458"/>
      <c r="H972" s="458"/>
      <c r="I972" s="458"/>
      <c r="J972" s="458"/>
      <c r="K972" s="425"/>
      <c r="L972" s="425"/>
      <c r="M972" s="230" t="s">
        <v>9</v>
      </c>
      <c r="N972" s="231"/>
      <c r="O972" s="457"/>
      <c r="P972" s="457"/>
      <c r="Q972" s="457"/>
      <c r="R972" s="457"/>
      <c r="S972" s="457"/>
      <c r="T972" s="459"/>
      <c r="U972" s="457"/>
    </row>
    <row r="973" spans="1:21" s="232" customFormat="1" ht="18.75" x14ac:dyDescent="0.2">
      <c r="A973" s="498">
        <f>Tableau!AR70</f>
        <v>0</v>
      </c>
      <c r="B973" s="469"/>
      <c r="C973" s="231"/>
      <c r="D973" s="448"/>
      <c r="E973" s="448"/>
      <c r="F973" s="448"/>
      <c r="G973" s="448"/>
      <c r="H973" s="448"/>
      <c r="I973" s="448"/>
      <c r="J973" s="448"/>
      <c r="K973" s="425"/>
      <c r="L973" s="498" t="str">
        <f>Tableau!AH70</f>
        <v/>
      </c>
      <c r="M973" s="231"/>
      <c r="N973" s="231"/>
      <c r="O973" s="448"/>
      <c r="P973" s="448"/>
      <c r="Q973" s="448"/>
      <c r="R973" s="448"/>
      <c r="S973" s="448"/>
      <c r="T973" s="449"/>
      <c r="U973" s="448"/>
    </row>
    <row r="974" spans="1:21" s="232" customFormat="1" ht="20.100000000000001" customHeight="1" x14ac:dyDescent="0.2">
      <c r="A974" s="990" t="e">
        <f>IF(A973="","",VLOOKUP(A973,liste!$A$9:$G$145,2,FALSE))</f>
        <v>#N/A</v>
      </c>
      <c r="B974" s="991" t="e">
        <v>#N/A</v>
      </c>
      <c r="C974" s="991" t="e">
        <v>#N/A</v>
      </c>
      <c r="D974" s="447"/>
      <c r="E974" s="447"/>
      <c r="F974" s="447"/>
      <c r="G974" s="447"/>
      <c r="H974" s="447"/>
      <c r="I974" s="447"/>
      <c r="J974" s="447"/>
      <c r="K974" s="425"/>
      <c r="L974" s="990" t="str">
        <f>IF(L973="","",VLOOKUP(L973,liste!$A$9:$G$145,2,FALSE))</f>
        <v/>
      </c>
      <c r="M974" s="991" t="s">
        <v>288</v>
      </c>
      <c r="N974" s="991" t="s">
        <v>288</v>
      </c>
      <c r="O974" s="447"/>
      <c r="P974" s="447"/>
      <c r="Q974" s="447"/>
      <c r="R974" s="447"/>
      <c r="S974" s="447"/>
      <c r="T974" s="428"/>
      <c r="U974" s="447"/>
    </row>
    <row r="975" spans="1:21" s="232" customFormat="1" ht="20.100000000000001" customHeight="1" x14ac:dyDescent="0.2">
      <c r="A975" s="440"/>
      <c r="B975" s="438"/>
      <c r="C975" s="450" t="e">
        <f>IF(A973="","",VLOOKUP(A973,liste!$A$9:$G$145,4,FALSE))</f>
        <v>#N/A</v>
      </c>
      <c r="D975" s="451"/>
      <c r="E975" s="451"/>
      <c r="F975" s="451"/>
      <c r="G975" s="451"/>
      <c r="H975" s="451"/>
      <c r="I975" s="451"/>
      <c r="J975" s="451"/>
      <c r="K975" s="425"/>
      <c r="L975" s="440"/>
      <c r="M975" s="438"/>
      <c r="N975" s="450" t="str">
        <f>IF(L973="","",VLOOKUP(L973,liste!$A$9:$G$145,4,FALSE))</f>
        <v/>
      </c>
      <c r="O975" s="451"/>
      <c r="P975" s="451"/>
      <c r="Q975" s="451"/>
      <c r="R975" s="451"/>
      <c r="S975" s="451"/>
      <c r="T975" s="452"/>
      <c r="U975" s="451"/>
    </row>
    <row r="976" spans="1:21" s="232" customFormat="1" ht="15.75" x14ac:dyDescent="0.2">
      <c r="A976" s="473" t="e">
        <f>IF(A973="","",VLOOKUP(A973,liste!$A$9:$G$145,3,FALSE))</f>
        <v>#N/A</v>
      </c>
      <c r="B976" s="438"/>
      <c r="C976" s="438"/>
      <c r="D976" s="455"/>
      <c r="E976" s="455"/>
      <c r="F976" s="455"/>
      <c r="G976" s="455"/>
      <c r="H976" s="455"/>
      <c r="I976" s="455"/>
      <c r="J976" s="455"/>
      <c r="K976" s="425"/>
      <c r="L976" s="468" t="str">
        <f>IF(L973="","",VLOOKUP(L973,liste!$A$9:$G$145,3,FALSE))</f>
        <v/>
      </c>
      <c r="M976" s="438"/>
      <c r="N976" s="438"/>
      <c r="O976" s="454"/>
      <c r="P976" s="454"/>
      <c r="Q976" s="454"/>
      <c r="R976" s="454"/>
      <c r="S976" s="454"/>
      <c r="T976" s="456"/>
      <c r="U976" s="454"/>
    </row>
    <row r="977" spans="1:21" s="232" customFormat="1" ht="12.75" x14ac:dyDescent="0.2">
      <c r="A977" s="425"/>
      <c r="B977" s="231"/>
      <c r="C977" s="231"/>
      <c r="D977" s="458"/>
      <c r="E977" s="458"/>
      <c r="F977" s="458"/>
      <c r="G977" s="458"/>
      <c r="H977" s="458"/>
      <c r="I977" s="458"/>
      <c r="J977" s="458"/>
      <c r="K977" s="425"/>
      <c r="L977" s="425"/>
      <c r="M977" s="231"/>
      <c r="N977" s="231"/>
      <c r="O977" s="457"/>
      <c r="P977" s="457"/>
      <c r="Q977" s="457"/>
      <c r="R977" s="457"/>
      <c r="S977" s="457"/>
      <c r="T977" s="459"/>
      <c r="U977" s="457"/>
    </row>
    <row r="978" spans="1:21" s="232" customFormat="1" ht="12.75" x14ac:dyDescent="0.2">
      <c r="A978" s="425"/>
      <c r="B978" s="231"/>
      <c r="C978" s="231"/>
      <c r="D978" s="231"/>
      <c r="E978" s="231"/>
      <c r="F978" s="231"/>
      <c r="G978" s="231"/>
      <c r="H978" s="231"/>
      <c r="I978" s="231"/>
      <c r="J978" s="428"/>
      <c r="K978" s="425"/>
      <c r="L978" s="425"/>
      <c r="M978" s="231"/>
      <c r="N978" s="231"/>
      <c r="O978" s="231"/>
      <c r="P978" s="231"/>
      <c r="Q978" s="231"/>
      <c r="R978" s="231"/>
      <c r="S978" s="231"/>
      <c r="T978" s="231"/>
      <c r="U978" s="428"/>
    </row>
    <row r="979" spans="1:21" s="232" customFormat="1" ht="20.100000000000001" customHeight="1" x14ac:dyDescent="0.2">
      <c r="A979" s="988" t="s">
        <v>90</v>
      </c>
      <c r="B979" s="989"/>
      <c r="C979" s="989"/>
      <c r="D979" s="461" t="s">
        <v>77</v>
      </c>
      <c r="E979" s="461" t="s">
        <v>87</v>
      </c>
      <c r="F979" s="461" t="s">
        <v>88</v>
      </c>
      <c r="G979" s="231"/>
      <c r="H979" s="231"/>
      <c r="I979" s="231"/>
      <c r="J979" s="428"/>
      <c r="K979" s="425"/>
      <c r="L979" s="988" t="s">
        <v>90</v>
      </c>
      <c r="M979" s="989"/>
      <c r="N979" s="989"/>
      <c r="O979" s="461" t="s">
        <v>77</v>
      </c>
      <c r="P979" s="461" t="s">
        <v>87</v>
      </c>
      <c r="Q979" s="461" t="s">
        <v>88</v>
      </c>
      <c r="R979" s="231"/>
      <c r="S979" s="231"/>
      <c r="T979" s="231"/>
      <c r="U979" s="428"/>
    </row>
    <row r="980" spans="1:21" s="232" customFormat="1" ht="20.100000000000001" customHeight="1" x14ac:dyDescent="0.2">
      <c r="A980" s="462" t="e">
        <f>A969</f>
        <v>#N/A</v>
      </c>
      <c r="B980" s="426"/>
      <c r="C980" s="449"/>
      <c r="D980" s="448"/>
      <c r="E980" s="448"/>
      <c r="F980" s="448"/>
      <c r="G980" s="231"/>
      <c r="H980" s="231"/>
      <c r="I980" s="231"/>
      <c r="J980" s="428"/>
      <c r="K980" s="425"/>
      <c r="L980" s="462" t="str">
        <f>L969</f>
        <v/>
      </c>
      <c r="M980" s="426"/>
      <c r="N980" s="449"/>
      <c r="O980" s="448"/>
      <c r="P980" s="448"/>
      <c r="Q980" s="448"/>
      <c r="R980" s="231"/>
      <c r="S980" s="231"/>
      <c r="T980" s="231"/>
      <c r="U980" s="428"/>
    </row>
    <row r="981" spans="1:21" s="232" customFormat="1" ht="20.100000000000001" customHeight="1" x14ac:dyDescent="0.2">
      <c r="A981" s="463"/>
      <c r="B981" s="233"/>
      <c r="C981" s="452"/>
      <c r="D981" s="451"/>
      <c r="E981" s="451"/>
      <c r="F981" s="451"/>
      <c r="G981" s="231"/>
      <c r="H981" s="231"/>
      <c r="I981" s="231"/>
      <c r="J981" s="428"/>
      <c r="K981" s="425"/>
      <c r="L981" s="463"/>
      <c r="M981" s="233"/>
      <c r="N981" s="452"/>
      <c r="O981" s="451"/>
      <c r="P981" s="451"/>
      <c r="Q981" s="451"/>
      <c r="R981" s="231"/>
      <c r="S981" s="231"/>
      <c r="T981" s="231"/>
      <c r="U981" s="428"/>
    </row>
    <row r="982" spans="1:21" s="232" customFormat="1" ht="20.100000000000001" customHeight="1" x14ac:dyDescent="0.2">
      <c r="A982" s="462" t="e">
        <f>A974</f>
        <v>#N/A</v>
      </c>
      <c r="B982" s="426"/>
      <c r="C982" s="449"/>
      <c r="D982" s="448"/>
      <c r="E982" s="448"/>
      <c r="F982" s="448"/>
      <c r="G982" s="231"/>
      <c r="H982" s="231"/>
      <c r="I982" s="231"/>
      <c r="J982" s="428"/>
      <c r="K982" s="425"/>
      <c r="L982" s="462" t="str">
        <f>L974</f>
        <v/>
      </c>
      <c r="M982" s="426"/>
      <c r="N982" s="449"/>
      <c r="O982" s="448"/>
      <c r="P982" s="448"/>
      <c r="Q982" s="448"/>
      <c r="R982" s="231"/>
      <c r="S982" s="231"/>
      <c r="T982" s="231"/>
      <c r="U982" s="428"/>
    </row>
    <row r="983" spans="1:21" s="232" customFormat="1" ht="20.100000000000001" customHeight="1" x14ac:dyDescent="0.2">
      <c r="A983" s="463"/>
      <c r="B983" s="233"/>
      <c r="C983" s="452"/>
      <c r="D983" s="451"/>
      <c r="E983" s="451"/>
      <c r="F983" s="451"/>
      <c r="G983" s="231"/>
      <c r="H983" s="231"/>
      <c r="I983" s="231"/>
      <c r="J983" s="428"/>
      <c r="K983" s="425"/>
      <c r="L983" s="463"/>
      <c r="M983" s="233"/>
      <c r="N983" s="452"/>
      <c r="O983" s="451"/>
      <c r="P983" s="451"/>
      <c r="Q983" s="451"/>
      <c r="R983" s="231"/>
      <c r="S983" s="231"/>
      <c r="T983" s="231"/>
      <c r="U983" s="428"/>
    </row>
    <row r="984" spans="1:21" s="232" customFormat="1" ht="12.75" x14ac:dyDescent="0.2">
      <c r="A984" s="464" t="s">
        <v>91</v>
      </c>
      <c r="B984" s="231"/>
      <c r="C984" s="231"/>
      <c r="D984" s="231"/>
      <c r="E984" s="231"/>
      <c r="F984" s="231"/>
      <c r="G984" s="231"/>
      <c r="H984" s="231"/>
      <c r="I984" s="231"/>
      <c r="J984" s="428"/>
      <c r="K984" s="425"/>
      <c r="L984" s="464" t="s">
        <v>91</v>
      </c>
      <c r="M984" s="231"/>
      <c r="N984" s="231"/>
      <c r="O984" s="231"/>
      <c r="P984" s="231"/>
      <c r="Q984" s="231"/>
      <c r="R984" s="231"/>
      <c r="S984" s="231"/>
      <c r="T984" s="231"/>
      <c r="U984" s="428"/>
    </row>
    <row r="985" spans="1:21" s="232" customFormat="1" ht="12.75" x14ac:dyDescent="0.2">
      <c r="A985" s="425"/>
      <c r="B985" s="231"/>
      <c r="C985" s="231"/>
      <c r="D985" s="231"/>
      <c r="E985" s="231"/>
      <c r="F985" s="231"/>
      <c r="G985" s="231"/>
      <c r="H985" s="231"/>
      <c r="I985" s="231"/>
      <c r="J985" s="428"/>
      <c r="K985" s="425"/>
      <c r="L985" s="425"/>
      <c r="M985" s="231"/>
      <c r="N985" s="231"/>
      <c r="O985" s="231"/>
      <c r="P985" s="231"/>
      <c r="Q985" s="231"/>
      <c r="R985" s="231"/>
      <c r="S985" s="231"/>
      <c r="T985" s="231"/>
      <c r="U985" s="428"/>
    </row>
    <row r="986" spans="1:21" s="232" customFormat="1" ht="12.75" x14ac:dyDescent="0.2">
      <c r="A986" s="465" t="s">
        <v>89</v>
      </c>
      <c r="B986" s="233"/>
      <c r="C986" s="233"/>
      <c r="D986" s="233"/>
      <c r="E986" s="233"/>
      <c r="F986" s="233"/>
      <c r="G986" s="233"/>
      <c r="H986" s="233"/>
      <c r="I986" s="233"/>
      <c r="J986" s="452"/>
      <c r="K986" s="425"/>
      <c r="L986" s="465" t="s">
        <v>89</v>
      </c>
      <c r="M986" s="233"/>
      <c r="N986" s="233"/>
      <c r="O986" s="233"/>
      <c r="P986" s="233"/>
      <c r="Q986" s="233"/>
      <c r="R986" s="233"/>
      <c r="S986" s="233"/>
      <c r="T986" s="233"/>
      <c r="U986" s="452"/>
    </row>
    <row r="987" spans="1:21" s="232" customFormat="1" ht="15.75" customHeight="1" x14ac:dyDescent="0.2">
      <c r="A987" s="1005" t="str">
        <f>$A$1</f>
        <v>Circuit décathlon</v>
      </c>
      <c r="B987" s="1006"/>
      <c r="C987" s="1006"/>
      <c r="D987" s="1006"/>
      <c r="E987" s="1006"/>
      <c r="F987" s="1006"/>
      <c r="G987" s="1006"/>
      <c r="H987" s="1006"/>
      <c r="I987" s="1006"/>
      <c r="J987" s="1007"/>
      <c r="K987" s="425"/>
      <c r="L987" s="1005" t="str">
        <f>$A$1</f>
        <v>Circuit décathlon</v>
      </c>
      <c r="M987" s="1006"/>
      <c r="N987" s="1006"/>
      <c r="O987" s="1006"/>
      <c r="P987" s="1006"/>
      <c r="Q987" s="1006"/>
      <c r="R987" s="1006"/>
      <c r="S987" s="1006"/>
      <c r="T987" s="426"/>
      <c r="U987" s="449"/>
    </row>
    <row r="988" spans="1:21" s="232" customFormat="1" ht="15.75" x14ac:dyDescent="0.2">
      <c r="A988" s="425"/>
      <c r="B988" s="231"/>
      <c r="C988" s="231"/>
      <c r="D988" s="427" t="s">
        <v>83</v>
      </c>
      <c r="E988" s="474">
        <f>Rens!J59</f>
        <v>0</v>
      </c>
      <c r="F988" s="231"/>
      <c r="G988" s="231"/>
      <c r="H988" s="231"/>
      <c r="I988" s="231"/>
      <c r="J988" s="428"/>
      <c r="K988" s="425"/>
      <c r="L988" s="425"/>
      <c r="M988" s="231"/>
      <c r="N988" s="231"/>
      <c r="O988" s="427" t="s">
        <v>83</v>
      </c>
      <c r="P988" s="474">
        <f>Rens!J60</f>
        <v>0</v>
      </c>
      <c r="Q988" s="231"/>
      <c r="R988" s="231"/>
      <c r="S988" s="231"/>
      <c r="T988" s="231"/>
      <c r="U988" s="428"/>
    </row>
    <row r="989" spans="1:21" s="232" customFormat="1" ht="18.75" x14ac:dyDescent="0.2">
      <c r="A989" s="429" t="s">
        <v>84</v>
      </c>
      <c r="B989" s="430" t="str">
        <f>$B$3</f>
        <v>Minimes</v>
      </c>
      <c r="C989" s="231"/>
      <c r="D989" s="231"/>
      <c r="E989" s="231"/>
      <c r="F989" s="231"/>
      <c r="G989" s="231"/>
      <c r="H989" s="231"/>
      <c r="I989" s="231"/>
      <c r="J989" s="428"/>
      <c r="K989" s="425"/>
      <c r="L989" s="429" t="s">
        <v>84</v>
      </c>
      <c r="M989" s="430" t="str">
        <f>$B$3</f>
        <v>Minimes</v>
      </c>
      <c r="N989" s="231"/>
      <c r="O989" s="231"/>
      <c r="P989" s="231"/>
      <c r="Q989" s="231"/>
      <c r="R989" s="231"/>
      <c r="S989" s="231"/>
      <c r="T989" s="231"/>
      <c r="U989" s="428"/>
    </row>
    <row r="990" spans="1:21" s="232" customFormat="1" ht="18.75" x14ac:dyDescent="0.2">
      <c r="A990" s="997" t="s">
        <v>264</v>
      </c>
      <c r="B990" s="998"/>
      <c r="C990" s="998"/>
      <c r="D990" s="998"/>
      <c r="E990" s="231"/>
      <c r="F990" s="231"/>
      <c r="G990" s="499"/>
      <c r="H990" s="231"/>
      <c r="I990" s="231"/>
      <c r="J990" s="428"/>
      <c r="K990" s="425"/>
      <c r="L990" s="997" t="s">
        <v>265</v>
      </c>
      <c r="M990" s="998"/>
      <c r="N990" s="998"/>
      <c r="O990" s="998"/>
      <c r="P990" s="231"/>
      <c r="Q990" s="231"/>
      <c r="R990" s="499"/>
      <c r="S990" s="231"/>
      <c r="T990" s="499"/>
      <c r="U990" s="428"/>
    </row>
    <row r="991" spans="1:21" s="343" customFormat="1" ht="23.25" x14ac:dyDescent="0.2">
      <c r="A991" s="432"/>
      <c r="B991" s="434" t="str">
        <f>Tableau!P26</f>
        <v/>
      </c>
      <c r="C991" s="345"/>
      <c r="D991" s="345"/>
      <c r="E991" s="344" t="s">
        <v>178</v>
      </c>
      <c r="F991" s="234">
        <f>Rens!K59</f>
        <v>0</v>
      </c>
      <c r="G991" s="345"/>
      <c r="H991" s="345"/>
      <c r="I991" s="345"/>
      <c r="J991" s="431"/>
      <c r="K991" s="432"/>
      <c r="L991" s="432"/>
      <c r="M991" s="434" t="str">
        <f>Tableau!P22</f>
        <v/>
      </c>
      <c r="N991" s="345"/>
      <c r="O991" s="345"/>
      <c r="P991" s="344" t="s">
        <v>178</v>
      </c>
      <c r="Q991" s="234">
        <f>Rens!K60</f>
        <v>0</v>
      </c>
      <c r="R991" s="345"/>
      <c r="S991" s="345"/>
      <c r="T991" s="345"/>
      <c r="U991" s="431"/>
    </row>
    <row r="992" spans="1:21" s="232" customFormat="1" ht="15.75" x14ac:dyDescent="0.2">
      <c r="A992" s="470" t="s">
        <v>85</v>
      </c>
      <c r="B992" s="436" t="str">
        <f>IF(B991="","",VLOOKUP(B991,liste!$A$9:$G$145,2,FALSE))</f>
        <v/>
      </c>
      <c r="C992" s="471"/>
      <c r="D992" s="471"/>
      <c r="E992" s="471"/>
      <c r="F992" s="471"/>
      <c r="G992" s="471"/>
      <c r="H992" s="471"/>
      <c r="I992" s="231"/>
      <c r="J992" s="428"/>
      <c r="K992" s="425"/>
      <c r="L992" s="470" t="s">
        <v>85</v>
      </c>
      <c r="M992" s="436" t="str">
        <f>IF(M991="","",VLOOKUP(M991,liste!$A$9:$G$145,2,FALSE))</f>
        <v/>
      </c>
      <c r="N992" s="471"/>
      <c r="O992" s="480"/>
      <c r="P992" s="480"/>
      <c r="Q992" s="471"/>
      <c r="R992" s="471"/>
      <c r="S992" s="471"/>
      <c r="T992" s="471"/>
      <c r="U992" s="472"/>
    </row>
    <row r="993" spans="1:21" s="232" customFormat="1" ht="20.100000000000001" customHeight="1" x14ac:dyDescent="0.2">
      <c r="A993" s="425"/>
      <c r="B993" s="231"/>
      <c r="C993" s="231"/>
      <c r="D993" s="999" t="s">
        <v>19</v>
      </c>
      <c r="E993" s="1000"/>
      <c r="F993" s="1000"/>
      <c r="G993" s="1000"/>
      <c r="H993" s="1000"/>
      <c r="I993" s="1000"/>
      <c r="J993" s="1001"/>
      <c r="K993" s="425"/>
      <c r="L993" s="443"/>
      <c r="M993" s="444"/>
      <c r="N993" s="444"/>
      <c r="O993" s="1002" t="s">
        <v>19</v>
      </c>
      <c r="P993" s="1003"/>
      <c r="Q993" s="1003"/>
      <c r="R993" s="1003"/>
      <c r="S993" s="1003"/>
      <c r="T993" s="1003"/>
      <c r="U993" s="1004"/>
    </row>
    <row r="994" spans="1:21" s="232" customFormat="1" ht="20.100000000000001" customHeight="1" x14ac:dyDescent="0.2">
      <c r="A994" s="992" t="s">
        <v>86</v>
      </c>
      <c r="B994" s="993"/>
      <c r="C994" s="993"/>
      <c r="D994" s="467">
        <v>1</v>
      </c>
      <c r="E994" s="467">
        <v>2</v>
      </c>
      <c r="F994" s="467">
        <v>3</v>
      </c>
      <c r="G994" s="467">
        <v>4</v>
      </c>
      <c r="H994" s="467">
        <v>5</v>
      </c>
      <c r="I994" s="467">
        <v>6</v>
      </c>
      <c r="J994" s="467">
        <v>7</v>
      </c>
      <c r="K994" s="425"/>
      <c r="L994" s="992" t="s">
        <v>86</v>
      </c>
      <c r="M994" s="993"/>
      <c r="N994" s="993"/>
      <c r="O994" s="445">
        <v>1</v>
      </c>
      <c r="P994" s="445">
        <v>2</v>
      </c>
      <c r="Q994" s="445">
        <v>3</v>
      </c>
      <c r="R994" s="445">
        <v>4</v>
      </c>
      <c r="S994" s="446">
        <v>5</v>
      </c>
      <c r="T994" s="497">
        <v>6</v>
      </c>
      <c r="U994" s="446">
        <v>7</v>
      </c>
    </row>
    <row r="995" spans="1:21" s="232" customFormat="1" ht="20.100000000000001" customHeight="1" x14ac:dyDescent="0.2">
      <c r="A995" s="500"/>
      <c r="B995" s="501"/>
      <c r="C995" s="501"/>
      <c r="D995" s="994" t="s">
        <v>92</v>
      </c>
      <c r="E995" s="995"/>
      <c r="F995" s="995"/>
      <c r="G995" s="995"/>
      <c r="H995" s="995"/>
      <c r="I995" s="995"/>
      <c r="J995" s="996"/>
      <c r="K995" s="425"/>
      <c r="L995" s="500"/>
      <c r="M995" s="501"/>
      <c r="N995" s="501"/>
      <c r="O995" s="994" t="s">
        <v>92</v>
      </c>
      <c r="P995" s="995"/>
      <c r="Q995" s="995"/>
      <c r="R995" s="995"/>
      <c r="S995" s="995"/>
      <c r="T995" s="995"/>
      <c r="U995" s="996"/>
    </row>
    <row r="996" spans="1:21" s="232" customFormat="1" ht="18.75" x14ac:dyDescent="0.2">
      <c r="A996" s="498">
        <f>Tableau!AW79</f>
        <v>0</v>
      </c>
      <c r="B996" s="231"/>
      <c r="C996" s="231"/>
      <c r="D996" s="447"/>
      <c r="E996" s="447"/>
      <c r="F996" s="447"/>
      <c r="G996" s="447"/>
      <c r="H996" s="447"/>
      <c r="I996" s="447"/>
      <c r="J996" s="447"/>
      <c r="K996" s="425"/>
      <c r="L996" s="498" t="str">
        <f>Tableau!AW91</f>
        <v/>
      </c>
      <c r="M996" s="231"/>
      <c r="N996" s="231"/>
      <c r="O996" s="448"/>
      <c r="P996" s="448"/>
      <c r="Q996" s="448"/>
      <c r="R996" s="448"/>
      <c r="S996" s="448"/>
      <c r="T996" s="449"/>
      <c r="U996" s="448"/>
    </row>
    <row r="997" spans="1:21" s="232" customFormat="1" ht="20.100000000000001" customHeight="1" x14ac:dyDescent="0.2">
      <c r="A997" s="990" t="e">
        <f>IF(A996="","",VLOOKUP(A996,liste!$A$9:$G$145,2,FALSE))</f>
        <v>#N/A</v>
      </c>
      <c r="B997" s="991" t="e">
        <v>#N/A</v>
      </c>
      <c r="C997" s="991" t="e">
        <v>#N/A</v>
      </c>
      <c r="D997" s="447"/>
      <c r="E997" s="447"/>
      <c r="F997" s="447"/>
      <c r="G997" s="447"/>
      <c r="H997" s="447"/>
      <c r="I997" s="447"/>
      <c r="J997" s="447"/>
      <c r="K997" s="425"/>
      <c r="L997" s="990" t="str">
        <f>IF(L996="","",VLOOKUP(L996,liste!$A$9:$G$145,2,FALSE))</f>
        <v/>
      </c>
      <c r="M997" s="991" t="s">
        <v>288</v>
      </c>
      <c r="N997" s="991" t="s">
        <v>288</v>
      </c>
      <c r="O997" s="447"/>
      <c r="P997" s="447"/>
      <c r="Q997" s="447"/>
      <c r="R997" s="447"/>
      <c r="S997" s="447"/>
      <c r="T997" s="428"/>
      <c r="U997" s="447"/>
    </row>
    <row r="998" spans="1:21" s="232" customFormat="1" ht="20.100000000000001" customHeight="1" x14ac:dyDescent="0.2">
      <c r="A998" s="440"/>
      <c r="B998" s="438"/>
      <c r="C998" s="450" t="e">
        <f>IF(A996="","",VLOOKUP(A996,liste!$A$9:$G$145,4,FALSE))</f>
        <v>#N/A</v>
      </c>
      <c r="D998" s="451"/>
      <c r="E998" s="451"/>
      <c r="F998" s="451"/>
      <c r="G998" s="451"/>
      <c r="H998" s="451"/>
      <c r="I998" s="451"/>
      <c r="J998" s="451"/>
      <c r="K998" s="425"/>
      <c r="L998" s="440"/>
      <c r="M998" s="438"/>
      <c r="N998" s="450" t="str">
        <f>IF(L996="","",VLOOKUP(L996,liste!$A$9:$G$145,4,FALSE))</f>
        <v/>
      </c>
      <c r="O998" s="451"/>
      <c r="P998" s="451"/>
      <c r="Q998" s="451"/>
      <c r="R998" s="451"/>
      <c r="S998" s="451"/>
      <c r="T998" s="452"/>
      <c r="U998" s="451"/>
    </row>
    <row r="999" spans="1:21" s="232" customFormat="1" ht="15.75" x14ac:dyDescent="0.2">
      <c r="A999" s="453" t="e">
        <f>IF(A996="","",VLOOKUP(A996,liste!$A$9:$G$145,3,FALSE))</f>
        <v>#N/A</v>
      </c>
      <c r="B999" s="438"/>
      <c r="C999" s="438"/>
      <c r="D999" s="455"/>
      <c r="E999" s="455"/>
      <c r="F999" s="455"/>
      <c r="G999" s="455"/>
      <c r="H999" s="455"/>
      <c r="I999" s="455"/>
      <c r="J999" s="455"/>
      <c r="K999" s="425"/>
      <c r="L999" s="453" t="str">
        <f>IF(L996="","",VLOOKUP(L996,liste!$A$9:$G$145,3,FALSE))</f>
        <v/>
      </c>
      <c r="M999" s="438"/>
      <c r="N999" s="438"/>
      <c r="O999" s="454"/>
      <c r="P999" s="454"/>
      <c r="Q999" s="454"/>
      <c r="R999" s="454"/>
      <c r="S999" s="454"/>
      <c r="T999" s="456"/>
      <c r="U999" s="454"/>
    </row>
    <row r="1000" spans="1:21" s="232" customFormat="1" ht="12.75" x14ac:dyDescent="0.2">
      <c r="A1000" s="425"/>
      <c r="B1000" s="230" t="s">
        <v>9</v>
      </c>
      <c r="C1000" s="231"/>
      <c r="D1000" s="458"/>
      <c r="E1000" s="458"/>
      <c r="F1000" s="458"/>
      <c r="G1000" s="458"/>
      <c r="H1000" s="458"/>
      <c r="I1000" s="458"/>
      <c r="J1000" s="458"/>
      <c r="K1000" s="425"/>
      <c r="L1000" s="425"/>
      <c r="M1000" s="230" t="s">
        <v>9</v>
      </c>
      <c r="N1000" s="231"/>
      <c r="O1000" s="457"/>
      <c r="P1000" s="457"/>
      <c r="Q1000" s="457"/>
      <c r="R1000" s="457"/>
      <c r="S1000" s="457"/>
      <c r="T1000" s="459"/>
      <c r="U1000" s="457"/>
    </row>
    <row r="1001" spans="1:21" s="232" customFormat="1" ht="18.75" x14ac:dyDescent="0.2">
      <c r="A1001" s="498">
        <f>Tableau!AW87</f>
        <v>0</v>
      </c>
      <c r="B1001" s="231"/>
      <c r="C1001" s="231"/>
      <c r="D1001" s="448"/>
      <c r="E1001" s="448"/>
      <c r="F1001" s="448"/>
      <c r="G1001" s="448"/>
      <c r="H1001" s="448"/>
      <c r="I1001" s="448"/>
      <c r="J1001" s="448"/>
      <c r="K1001" s="425"/>
      <c r="L1001" s="498" t="str">
        <f>Tableau!AW95</f>
        <v/>
      </c>
      <c r="M1001" s="231"/>
      <c r="N1001" s="231"/>
      <c r="O1001" s="448"/>
      <c r="P1001" s="448"/>
      <c r="Q1001" s="448"/>
      <c r="R1001" s="448"/>
      <c r="S1001" s="448"/>
      <c r="T1001" s="449"/>
      <c r="U1001" s="448"/>
    </row>
    <row r="1002" spans="1:21" s="232" customFormat="1" ht="20.100000000000001" customHeight="1" x14ac:dyDescent="0.2">
      <c r="A1002" s="990" t="e">
        <f>IF(A1001="","",VLOOKUP(A1001,liste!$A$9:$G$145,2,FALSE))</f>
        <v>#N/A</v>
      </c>
      <c r="B1002" s="991" t="e">
        <v>#N/A</v>
      </c>
      <c r="C1002" s="991" t="e">
        <v>#N/A</v>
      </c>
      <c r="D1002" s="447"/>
      <c r="E1002" s="447"/>
      <c r="F1002" s="447"/>
      <c r="G1002" s="447"/>
      <c r="H1002" s="447"/>
      <c r="I1002" s="447"/>
      <c r="J1002" s="447"/>
      <c r="K1002" s="425"/>
      <c r="L1002" s="990" t="str">
        <f>IF(L1001="","",VLOOKUP(L1001,liste!$A$9:$G$145,2,FALSE))</f>
        <v/>
      </c>
      <c r="M1002" s="991" t="s">
        <v>288</v>
      </c>
      <c r="N1002" s="991" t="s">
        <v>288</v>
      </c>
      <c r="O1002" s="447"/>
      <c r="P1002" s="447"/>
      <c r="Q1002" s="447"/>
      <c r="R1002" s="447"/>
      <c r="S1002" s="447"/>
      <c r="T1002" s="428"/>
      <c r="U1002" s="447"/>
    </row>
    <row r="1003" spans="1:21" s="232" customFormat="1" ht="20.100000000000001" customHeight="1" x14ac:dyDescent="0.2">
      <c r="A1003" s="440"/>
      <c r="B1003" s="438"/>
      <c r="C1003" s="450" t="e">
        <f>IF(A1001="","",VLOOKUP(A1001,liste!$A$9:$G$145,4,FALSE))</f>
        <v>#N/A</v>
      </c>
      <c r="D1003" s="451"/>
      <c r="E1003" s="451"/>
      <c r="F1003" s="451"/>
      <c r="G1003" s="451"/>
      <c r="H1003" s="451"/>
      <c r="I1003" s="451"/>
      <c r="J1003" s="451"/>
      <c r="K1003" s="425"/>
      <c r="L1003" s="440"/>
      <c r="M1003" s="438"/>
      <c r="N1003" s="450" t="str">
        <f>IF(L1001="","",VLOOKUP(L1001,liste!$A$9:$G$145,4,FALSE))</f>
        <v/>
      </c>
      <c r="O1003" s="451"/>
      <c r="P1003" s="451"/>
      <c r="Q1003" s="451"/>
      <c r="R1003" s="451"/>
      <c r="S1003" s="451"/>
      <c r="T1003" s="452"/>
      <c r="U1003" s="451"/>
    </row>
    <row r="1004" spans="1:21" s="232" customFormat="1" ht="15.75" x14ac:dyDescent="0.2">
      <c r="A1004" s="453" t="e">
        <f>IF(A1001="","",VLOOKUP(A1001,liste!$A$9:$G$145,3,FALSE))</f>
        <v>#N/A</v>
      </c>
      <c r="B1004" s="438"/>
      <c r="C1004" s="438"/>
      <c r="D1004" s="455"/>
      <c r="E1004" s="455"/>
      <c r="F1004" s="455"/>
      <c r="G1004" s="455"/>
      <c r="H1004" s="455"/>
      <c r="I1004" s="455"/>
      <c r="J1004" s="455"/>
      <c r="K1004" s="425"/>
      <c r="L1004" s="453" t="str">
        <f>IF(L1001="","",VLOOKUP(L1001,liste!$A$9:$G$145,3,FALSE))</f>
        <v/>
      </c>
      <c r="M1004" s="438"/>
      <c r="N1004" s="438"/>
      <c r="O1004" s="454"/>
      <c r="P1004" s="454"/>
      <c r="Q1004" s="454"/>
      <c r="R1004" s="454"/>
      <c r="S1004" s="454"/>
      <c r="T1004" s="456"/>
      <c r="U1004" s="454"/>
    </row>
    <row r="1005" spans="1:21" s="232" customFormat="1" ht="12.75" x14ac:dyDescent="0.2">
      <c r="A1005" s="425"/>
      <c r="B1005" s="231"/>
      <c r="C1005" s="231"/>
      <c r="D1005" s="458"/>
      <c r="E1005" s="458"/>
      <c r="F1005" s="458"/>
      <c r="G1005" s="458"/>
      <c r="H1005" s="458"/>
      <c r="I1005" s="458"/>
      <c r="J1005" s="458"/>
      <c r="K1005" s="425"/>
      <c r="L1005" s="425"/>
      <c r="M1005" s="231"/>
      <c r="N1005" s="231"/>
      <c r="O1005" s="457"/>
      <c r="P1005" s="457"/>
      <c r="Q1005" s="457"/>
      <c r="R1005" s="457"/>
      <c r="S1005" s="457"/>
      <c r="T1005" s="459"/>
      <c r="U1005" s="457"/>
    </row>
    <row r="1006" spans="1:21" s="232" customFormat="1" ht="12.75" x14ac:dyDescent="0.2">
      <c r="A1006" s="425"/>
      <c r="B1006" s="231"/>
      <c r="C1006" s="231"/>
      <c r="D1006" s="231"/>
      <c r="E1006" s="231"/>
      <c r="F1006" s="231"/>
      <c r="G1006" s="231"/>
      <c r="H1006" s="231"/>
      <c r="I1006" s="231"/>
      <c r="J1006" s="428"/>
      <c r="K1006" s="425"/>
      <c r="L1006" s="425"/>
      <c r="M1006" s="231"/>
      <c r="N1006" s="231"/>
      <c r="O1006" s="231"/>
      <c r="P1006" s="231"/>
      <c r="Q1006" s="231"/>
      <c r="R1006" s="231"/>
      <c r="S1006" s="231"/>
      <c r="T1006" s="231"/>
      <c r="U1006" s="428"/>
    </row>
    <row r="1007" spans="1:21" s="232" customFormat="1" ht="20.100000000000001" customHeight="1" x14ac:dyDescent="0.2">
      <c r="A1007" s="988" t="s">
        <v>90</v>
      </c>
      <c r="B1007" s="989"/>
      <c r="C1007" s="989"/>
      <c r="D1007" s="461" t="s">
        <v>77</v>
      </c>
      <c r="E1007" s="461" t="s">
        <v>87</v>
      </c>
      <c r="F1007" s="461" t="s">
        <v>88</v>
      </c>
      <c r="G1007" s="231"/>
      <c r="H1007" s="231"/>
      <c r="I1007" s="231"/>
      <c r="J1007" s="428"/>
      <c r="K1007" s="425"/>
      <c r="L1007" s="988" t="s">
        <v>90</v>
      </c>
      <c r="M1007" s="989"/>
      <c r="N1007" s="989"/>
      <c r="O1007" s="461" t="s">
        <v>77</v>
      </c>
      <c r="P1007" s="461" t="s">
        <v>87</v>
      </c>
      <c r="Q1007" s="461" t="s">
        <v>88</v>
      </c>
      <c r="R1007" s="231"/>
      <c r="S1007" s="231"/>
      <c r="T1007" s="231"/>
      <c r="U1007" s="428"/>
    </row>
    <row r="1008" spans="1:21" s="232" customFormat="1" ht="20.100000000000001" customHeight="1" x14ac:dyDescent="0.2">
      <c r="A1008" s="462" t="e">
        <f>A997</f>
        <v>#N/A</v>
      </c>
      <c r="B1008" s="426"/>
      <c r="C1008" s="449"/>
      <c r="D1008" s="448"/>
      <c r="E1008" s="448"/>
      <c r="F1008" s="448"/>
      <c r="G1008" s="231"/>
      <c r="H1008" s="231"/>
      <c r="I1008" s="231"/>
      <c r="J1008" s="428"/>
      <c r="K1008" s="425"/>
      <c r="L1008" s="462" t="str">
        <f>L997</f>
        <v/>
      </c>
      <c r="M1008" s="426"/>
      <c r="N1008" s="449"/>
      <c r="O1008" s="448"/>
      <c r="P1008" s="448"/>
      <c r="Q1008" s="448"/>
      <c r="R1008" s="231"/>
      <c r="S1008" s="231"/>
      <c r="T1008" s="231"/>
      <c r="U1008" s="428"/>
    </row>
    <row r="1009" spans="1:21" s="232" customFormat="1" ht="20.100000000000001" customHeight="1" x14ac:dyDescent="0.2">
      <c r="A1009" s="463"/>
      <c r="B1009" s="233"/>
      <c r="C1009" s="452"/>
      <c r="D1009" s="451"/>
      <c r="E1009" s="451"/>
      <c r="F1009" s="451"/>
      <c r="G1009" s="231"/>
      <c r="H1009" s="231"/>
      <c r="I1009" s="231"/>
      <c r="J1009" s="428"/>
      <c r="K1009" s="425"/>
      <c r="L1009" s="463"/>
      <c r="M1009" s="233"/>
      <c r="N1009" s="452"/>
      <c r="O1009" s="451"/>
      <c r="P1009" s="451"/>
      <c r="Q1009" s="451"/>
      <c r="R1009" s="231"/>
      <c r="S1009" s="231"/>
      <c r="T1009" s="231"/>
      <c r="U1009" s="428"/>
    </row>
    <row r="1010" spans="1:21" s="232" customFormat="1" ht="20.100000000000001" customHeight="1" x14ac:dyDescent="0.2">
      <c r="A1010" s="462" t="e">
        <f>A1002</f>
        <v>#N/A</v>
      </c>
      <c r="B1010" s="426"/>
      <c r="C1010" s="449"/>
      <c r="D1010" s="448"/>
      <c r="E1010" s="448"/>
      <c r="F1010" s="448"/>
      <c r="G1010" s="231"/>
      <c r="H1010" s="231"/>
      <c r="I1010" s="231"/>
      <c r="J1010" s="428"/>
      <c r="K1010" s="425"/>
      <c r="L1010" s="462" t="str">
        <f>L1002</f>
        <v/>
      </c>
      <c r="M1010" s="426"/>
      <c r="N1010" s="449"/>
      <c r="O1010" s="448"/>
      <c r="P1010" s="448"/>
      <c r="Q1010" s="448"/>
      <c r="R1010" s="231"/>
      <c r="S1010" s="231"/>
      <c r="T1010" s="231"/>
      <c r="U1010" s="428"/>
    </row>
    <row r="1011" spans="1:21" s="232" customFormat="1" ht="20.100000000000001" customHeight="1" x14ac:dyDescent="0.2">
      <c r="A1011" s="463"/>
      <c r="B1011" s="233"/>
      <c r="C1011" s="452"/>
      <c r="D1011" s="451"/>
      <c r="E1011" s="451"/>
      <c r="F1011" s="451"/>
      <c r="G1011" s="231"/>
      <c r="H1011" s="231"/>
      <c r="I1011" s="231"/>
      <c r="J1011" s="428"/>
      <c r="K1011" s="425"/>
      <c r="L1011" s="463"/>
      <c r="M1011" s="233"/>
      <c r="N1011" s="452"/>
      <c r="O1011" s="451"/>
      <c r="P1011" s="451"/>
      <c r="Q1011" s="451"/>
      <c r="R1011" s="231"/>
      <c r="S1011" s="231"/>
      <c r="T1011" s="231"/>
      <c r="U1011" s="428"/>
    </row>
    <row r="1012" spans="1:21" s="232" customFormat="1" ht="12.75" x14ac:dyDescent="0.2">
      <c r="A1012" s="464" t="s">
        <v>91</v>
      </c>
      <c r="B1012" s="231"/>
      <c r="C1012" s="231"/>
      <c r="D1012" s="231"/>
      <c r="E1012" s="231"/>
      <c r="F1012" s="231"/>
      <c r="G1012" s="231"/>
      <c r="H1012" s="231"/>
      <c r="I1012" s="231"/>
      <c r="J1012" s="428"/>
      <c r="K1012" s="425"/>
      <c r="L1012" s="464" t="s">
        <v>91</v>
      </c>
      <c r="M1012" s="231"/>
      <c r="N1012" s="231"/>
      <c r="O1012" s="231"/>
      <c r="P1012" s="231"/>
      <c r="Q1012" s="231"/>
      <c r="R1012" s="231"/>
      <c r="S1012" s="231"/>
      <c r="T1012" s="231"/>
      <c r="U1012" s="428"/>
    </row>
    <row r="1013" spans="1:21" s="232" customFormat="1" ht="12.75" x14ac:dyDescent="0.2">
      <c r="A1013" s="425"/>
      <c r="B1013" s="231"/>
      <c r="C1013" s="231"/>
      <c r="D1013" s="231"/>
      <c r="E1013" s="231"/>
      <c r="F1013" s="231"/>
      <c r="G1013" s="231"/>
      <c r="H1013" s="231"/>
      <c r="I1013" s="231"/>
      <c r="J1013" s="428"/>
      <c r="K1013" s="425"/>
      <c r="L1013" s="425"/>
      <c r="M1013" s="231"/>
      <c r="N1013" s="231"/>
      <c r="O1013" s="231"/>
      <c r="P1013" s="231"/>
      <c r="Q1013" s="231"/>
      <c r="R1013" s="231"/>
      <c r="S1013" s="231"/>
      <c r="T1013" s="231"/>
      <c r="U1013" s="428"/>
    </row>
    <row r="1014" spans="1:21" s="232" customFormat="1" ht="12.75" x14ac:dyDescent="0.2">
      <c r="A1014" s="465" t="s">
        <v>89</v>
      </c>
      <c r="B1014" s="233"/>
      <c r="C1014" s="233"/>
      <c r="D1014" s="233"/>
      <c r="E1014" s="233"/>
      <c r="F1014" s="233"/>
      <c r="G1014" s="233"/>
      <c r="H1014" s="233"/>
      <c r="I1014" s="233"/>
      <c r="J1014" s="452"/>
      <c r="K1014" s="425"/>
      <c r="L1014" s="465" t="s">
        <v>89</v>
      </c>
      <c r="M1014" s="233"/>
      <c r="N1014" s="233"/>
      <c r="O1014" s="233"/>
      <c r="P1014" s="233"/>
      <c r="Q1014" s="233"/>
      <c r="R1014" s="233"/>
      <c r="S1014" s="233"/>
      <c r="T1014" s="233"/>
      <c r="U1014" s="452"/>
    </row>
    <row r="1015" spans="1:21" s="232" customFormat="1" ht="30" customHeight="1" x14ac:dyDescent="0.2"/>
    <row r="1016" spans="1:21" s="232" customFormat="1" ht="30" customHeight="1" x14ac:dyDescent="0.2"/>
    <row r="1017" spans="1:21" s="232" customFormat="1" ht="20.100000000000001" customHeight="1" x14ac:dyDescent="0.2">
      <c r="A1017" s="1005" t="str">
        <f>$A$1</f>
        <v>Circuit décathlon</v>
      </c>
      <c r="B1017" s="1006"/>
      <c r="C1017" s="1006"/>
      <c r="D1017" s="1006"/>
      <c r="E1017" s="1006"/>
      <c r="F1017" s="1006"/>
      <c r="G1017" s="1006"/>
      <c r="H1017" s="1006"/>
      <c r="I1017" s="1006"/>
      <c r="J1017" s="1007"/>
      <c r="K1017" s="425"/>
      <c r="L1017" s="1005" t="str">
        <f>$A$1</f>
        <v>Circuit décathlon</v>
      </c>
      <c r="M1017" s="1006"/>
      <c r="N1017" s="1006"/>
      <c r="O1017" s="1006"/>
      <c r="P1017" s="1006"/>
      <c r="Q1017" s="1006"/>
      <c r="R1017" s="1006"/>
      <c r="S1017" s="1006"/>
      <c r="T1017" s="426"/>
      <c r="U1017" s="449"/>
    </row>
    <row r="1018" spans="1:21" s="232" customFormat="1" ht="15.75" x14ac:dyDescent="0.2">
      <c r="A1018" s="425"/>
      <c r="B1018" s="231"/>
      <c r="C1018" s="231"/>
      <c r="D1018" s="427" t="s">
        <v>83</v>
      </c>
      <c r="E1018" s="474">
        <f>Rens!J61</f>
        <v>0</v>
      </c>
      <c r="F1018" s="231"/>
      <c r="G1018" s="231"/>
      <c r="H1018" s="231"/>
      <c r="I1018" s="231"/>
      <c r="J1018" s="428"/>
      <c r="K1018" s="425"/>
      <c r="L1018" s="425"/>
      <c r="M1018" s="231"/>
      <c r="N1018" s="231"/>
      <c r="O1018" s="427" t="s">
        <v>83</v>
      </c>
      <c r="P1018" s="474">
        <f>Rens!J62</f>
        <v>0</v>
      </c>
      <c r="Q1018" s="231"/>
      <c r="R1018" s="231"/>
      <c r="S1018" s="231"/>
      <c r="T1018" s="231"/>
      <c r="U1018" s="428"/>
    </row>
    <row r="1019" spans="1:21" s="232" customFormat="1" ht="18.75" x14ac:dyDescent="0.2">
      <c r="A1019" s="429" t="s">
        <v>84</v>
      </c>
      <c r="B1019" s="430" t="str">
        <f>$B$3</f>
        <v>Minimes</v>
      </c>
      <c r="C1019" s="231"/>
      <c r="D1019" s="231"/>
      <c r="E1019" s="231"/>
      <c r="F1019" s="231"/>
      <c r="G1019" s="231"/>
      <c r="H1019" s="231"/>
      <c r="I1019" s="231"/>
      <c r="J1019" s="428"/>
      <c r="K1019" s="425"/>
      <c r="L1019" s="429" t="s">
        <v>84</v>
      </c>
      <c r="M1019" s="430" t="str">
        <f>$B$3</f>
        <v>Minimes</v>
      </c>
      <c r="N1019" s="231"/>
      <c r="O1019" s="231"/>
      <c r="P1019" s="231"/>
      <c r="Q1019" s="231"/>
      <c r="R1019" s="231"/>
      <c r="S1019" s="231"/>
      <c r="T1019" s="231"/>
      <c r="U1019" s="428"/>
    </row>
    <row r="1020" spans="1:21" s="232" customFormat="1" ht="18.75" x14ac:dyDescent="0.2">
      <c r="A1020" s="997" t="s">
        <v>266</v>
      </c>
      <c r="B1020" s="998"/>
      <c r="C1020" s="998"/>
      <c r="D1020" s="998"/>
      <c r="E1020" s="231"/>
      <c r="F1020" s="231"/>
      <c r="G1020" s="499"/>
      <c r="H1020" s="231"/>
      <c r="I1020" s="231"/>
      <c r="J1020" s="428"/>
      <c r="K1020" s="425"/>
      <c r="L1020" s="997" t="s">
        <v>267</v>
      </c>
      <c r="M1020" s="998"/>
      <c r="N1020" s="998"/>
      <c r="O1020" s="998"/>
      <c r="P1020" s="231"/>
      <c r="Q1020" s="231"/>
      <c r="R1020" s="499"/>
      <c r="S1020" s="231"/>
      <c r="T1020" s="499"/>
      <c r="U1020" s="428"/>
    </row>
    <row r="1021" spans="1:21" s="343" customFormat="1" ht="23.25" x14ac:dyDescent="0.2">
      <c r="A1021" s="432"/>
      <c r="B1021" s="434" t="str">
        <f>Tableau!P16</f>
        <v/>
      </c>
      <c r="C1021" s="345"/>
      <c r="D1021" s="345"/>
      <c r="E1021" s="344" t="s">
        <v>178</v>
      </c>
      <c r="F1021" s="234">
        <f>Rens!K61</f>
        <v>0</v>
      </c>
      <c r="G1021" s="345"/>
      <c r="H1021" s="345"/>
      <c r="I1021" s="345"/>
      <c r="J1021" s="431"/>
      <c r="K1021" s="432"/>
      <c r="L1021" s="432"/>
      <c r="M1021" s="434" t="str">
        <f>Tableau!P12</f>
        <v/>
      </c>
      <c r="N1021" s="345"/>
      <c r="O1021" s="345"/>
      <c r="P1021" s="344" t="s">
        <v>178</v>
      </c>
      <c r="Q1021" s="234">
        <f>Rens!K62</f>
        <v>0</v>
      </c>
      <c r="R1021" s="345"/>
      <c r="S1021" s="345"/>
      <c r="T1021" s="345"/>
      <c r="U1021" s="431"/>
    </row>
    <row r="1022" spans="1:21" s="232" customFormat="1" ht="15.75" x14ac:dyDescent="0.2">
      <c r="A1022" s="470" t="s">
        <v>85</v>
      </c>
      <c r="B1022" s="436" t="str">
        <f>IF(B1021="","",VLOOKUP(B1021,liste!$A$9:$G$145,2,FALSE))</f>
        <v/>
      </c>
      <c r="C1022" s="471"/>
      <c r="D1022" s="471"/>
      <c r="E1022" s="471"/>
      <c r="F1022" s="471"/>
      <c r="G1022" s="471"/>
      <c r="H1022" s="471"/>
      <c r="I1022" s="231"/>
      <c r="J1022" s="428"/>
      <c r="K1022" s="425"/>
      <c r="L1022" s="470" t="s">
        <v>85</v>
      </c>
      <c r="M1022" s="436" t="str">
        <f>IF(M1021="","",VLOOKUP(M1021,liste!$A$9:$G$145,2,FALSE))</f>
        <v/>
      </c>
      <c r="N1022" s="471"/>
      <c r="O1022" s="471"/>
      <c r="P1022" s="471"/>
      <c r="Q1022" s="471"/>
      <c r="R1022" s="471"/>
      <c r="S1022" s="471"/>
      <c r="T1022" s="471"/>
      <c r="U1022" s="472"/>
    </row>
    <row r="1023" spans="1:21" s="232" customFormat="1" ht="20.100000000000001" customHeight="1" x14ac:dyDescent="0.2">
      <c r="A1023" s="425"/>
      <c r="D1023" s="999" t="s">
        <v>19</v>
      </c>
      <c r="E1023" s="1000"/>
      <c r="F1023" s="1000"/>
      <c r="G1023" s="1000"/>
      <c r="H1023" s="1000"/>
      <c r="I1023" s="1000"/>
      <c r="J1023" s="1001"/>
      <c r="K1023" s="425"/>
      <c r="L1023" s="443"/>
      <c r="M1023" s="444"/>
      <c r="N1023" s="444"/>
      <c r="O1023" s="1002" t="s">
        <v>19</v>
      </c>
      <c r="P1023" s="1003"/>
      <c r="Q1023" s="1003"/>
      <c r="R1023" s="1003"/>
      <c r="S1023" s="1003"/>
      <c r="T1023" s="1003"/>
      <c r="U1023" s="1004"/>
    </row>
    <row r="1024" spans="1:21" s="232" customFormat="1" ht="20.100000000000001" customHeight="1" x14ac:dyDescent="0.2">
      <c r="A1024" s="992" t="s">
        <v>86</v>
      </c>
      <c r="B1024" s="993"/>
      <c r="C1024" s="993"/>
      <c r="D1024" s="467">
        <v>1</v>
      </c>
      <c r="E1024" s="467">
        <v>2</v>
      </c>
      <c r="F1024" s="467">
        <v>3</v>
      </c>
      <c r="G1024" s="467">
        <v>4</v>
      </c>
      <c r="H1024" s="467">
        <v>5</v>
      </c>
      <c r="I1024" s="467">
        <v>6</v>
      </c>
      <c r="J1024" s="467">
        <v>7</v>
      </c>
      <c r="K1024" s="425"/>
      <c r="L1024" s="992" t="s">
        <v>86</v>
      </c>
      <c r="M1024" s="993"/>
      <c r="N1024" s="993"/>
      <c r="O1024" s="445">
        <v>1</v>
      </c>
      <c r="P1024" s="445">
        <v>2</v>
      </c>
      <c r="Q1024" s="445">
        <v>3</v>
      </c>
      <c r="R1024" s="445">
        <v>4</v>
      </c>
      <c r="S1024" s="446">
        <v>5</v>
      </c>
      <c r="T1024" s="497">
        <v>6</v>
      </c>
      <c r="U1024" s="446">
        <v>7</v>
      </c>
    </row>
    <row r="1025" spans="1:21" s="232" customFormat="1" ht="20.100000000000001" customHeight="1" x14ac:dyDescent="0.2">
      <c r="A1025" s="500"/>
      <c r="B1025" s="501"/>
      <c r="C1025" s="501"/>
      <c r="D1025" s="994" t="s">
        <v>92</v>
      </c>
      <c r="E1025" s="995"/>
      <c r="F1025" s="995"/>
      <c r="G1025" s="995"/>
      <c r="H1025" s="995"/>
      <c r="I1025" s="995"/>
      <c r="J1025" s="996"/>
      <c r="K1025" s="425"/>
      <c r="L1025" s="500"/>
      <c r="M1025" s="501"/>
      <c r="N1025" s="501"/>
      <c r="O1025" s="994" t="s">
        <v>92</v>
      </c>
      <c r="P1025" s="995"/>
      <c r="Q1025" s="995"/>
      <c r="R1025" s="995"/>
      <c r="S1025" s="995"/>
      <c r="T1025" s="995"/>
      <c r="U1025" s="996"/>
    </row>
    <row r="1026" spans="1:21" s="232" customFormat="1" ht="18.75" x14ac:dyDescent="0.2">
      <c r="A1026" s="498">
        <f>Tableau!AC79</f>
        <v>0</v>
      </c>
      <c r="C1026" s="231"/>
      <c r="D1026" s="448"/>
      <c r="E1026" s="448"/>
      <c r="F1026" s="448"/>
      <c r="G1026" s="448"/>
      <c r="H1026" s="448"/>
      <c r="I1026" s="448"/>
      <c r="J1026" s="448"/>
      <c r="K1026" s="425"/>
      <c r="L1026" s="498" t="str">
        <f>Tableau!AD91</f>
        <v/>
      </c>
      <c r="M1026" s="231"/>
      <c r="N1026" s="231"/>
      <c r="O1026" s="448"/>
      <c r="P1026" s="448"/>
      <c r="Q1026" s="448"/>
      <c r="R1026" s="448"/>
      <c r="S1026" s="448"/>
      <c r="T1026" s="449"/>
      <c r="U1026" s="448"/>
    </row>
    <row r="1027" spans="1:21" s="232" customFormat="1" ht="20.100000000000001" customHeight="1" x14ac:dyDescent="0.2">
      <c r="A1027" s="990" t="e">
        <f>IF(A1026="","",VLOOKUP(A1026,liste!$A$9:$G$145,2,FALSE))</f>
        <v>#N/A</v>
      </c>
      <c r="B1027" s="991" t="e">
        <v>#N/A</v>
      </c>
      <c r="C1027" s="991" t="e">
        <v>#N/A</v>
      </c>
      <c r="D1027" s="447"/>
      <c r="E1027" s="447"/>
      <c r="F1027" s="447"/>
      <c r="G1027" s="447"/>
      <c r="H1027" s="447"/>
      <c r="I1027" s="447"/>
      <c r="J1027" s="447"/>
      <c r="K1027" s="425"/>
      <c r="L1027" s="990" t="str">
        <f>IF(L1026="","",VLOOKUP(L1026,liste!$A$9:$G$145,2,FALSE))</f>
        <v/>
      </c>
      <c r="M1027" s="991" t="s">
        <v>288</v>
      </c>
      <c r="N1027" s="991" t="s">
        <v>288</v>
      </c>
      <c r="O1027" s="447"/>
      <c r="P1027" s="447"/>
      <c r="Q1027" s="447"/>
      <c r="R1027" s="447"/>
      <c r="S1027" s="447"/>
      <c r="T1027" s="428"/>
      <c r="U1027" s="447"/>
    </row>
    <row r="1028" spans="1:21" s="232" customFormat="1" ht="20.100000000000001" customHeight="1" x14ac:dyDescent="0.2">
      <c r="A1028" s="440"/>
      <c r="B1028" s="438"/>
      <c r="C1028" s="450" t="e">
        <f>IF(A1026="","",VLOOKUP(A1026,liste!$A$9:$G$145,4,FALSE))</f>
        <v>#N/A</v>
      </c>
      <c r="D1028" s="451"/>
      <c r="E1028" s="451"/>
      <c r="F1028" s="451"/>
      <c r="G1028" s="451"/>
      <c r="H1028" s="451"/>
      <c r="I1028" s="451"/>
      <c r="J1028" s="451"/>
      <c r="K1028" s="425"/>
      <c r="L1028" s="440"/>
      <c r="M1028" s="438"/>
      <c r="N1028" s="450" t="str">
        <f>IF(L1026="","",VLOOKUP(L1026,liste!$A$9:$G$145,4,FALSE))</f>
        <v/>
      </c>
      <c r="O1028" s="451"/>
      <c r="P1028" s="451"/>
      <c r="Q1028" s="451"/>
      <c r="R1028" s="451"/>
      <c r="S1028" s="451"/>
      <c r="T1028" s="452"/>
      <c r="U1028" s="451"/>
    </row>
    <row r="1029" spans="1:21" s="232" customFormat="1" ht="15.75" x14ac:dyDescent="0.2">
      <c r="A1029" s="468" t="e">
        <f>IF(A1026="","",VLOOKUP(A1026,liste!$A$9:$G$145,3,FALSE))</f>
        <v>#N/A</v>
      </c>
      <c r="B1029" s="438"/>
      <c r="C1029" s="438"/>
      <c r="D1029" s="455"/>
      <c r="E1029" s="455"/>
      <c r="F1029" s="455"/>
      <c r="G1029" s="455"/>
      <c r="H1029" s="455"/>
      <c r="I1029" s="455"/>
      <c r="J1029" s="455"/>
      <c r="K1029" s="425"/>
      <c r="L1029" s="468" t="str">
        <f>IF(L1026="","",VLOOKUP(L1026,liste!$A$9:$G$145,3,FALSE))</f>
        <v/>
      </c>
      <c r="M1029" s="438"/>
      <c r="N1029" s="438"/>
      <c r="O1029" s="454"/>
      <c r="P1029" s="454"/>
      <c r="Q1029" s="454"/>
      <c r="R1029" s="454"/>
      <c r="S1029" s="454"/>
      <c r="T1029" s="456"/>
      <c r="U1029" s="454"/>
    </row>
    <row r="1030" spans="1:21" s="232" customFormat="1" ht="12.75" x14ac:dyDescent="0.2">
      <c r="A1030" s="425"/>
      <c r="B1030" s="230" t="s">
        <v>9</v>
      </c>
      <c r="C1030" s="231"/>
      <c r="D1030" s="458"/>
      <c r="E1030" s="458"/>
      <c r="F1030" s="458"/>
      <c r="G1030" s="458"/>
      <c r="H1030" s="458"/>
      <c r="I1030" s="458"/>
      <c r="J1030" s="458"/>
      <c r="K1030" s="425"/>
      <c r="L1030" s="425"/>
      <c r="M1030" s="230" t="s">
        <v>9</v>
      </c>
      <c r="N1030" s="231"/>
      <c r="O1030" s="457"/>
      <c r="P1030" s="457"/>
      <c r="Q1030" s="457"/>
      <c r="R1030" s="457"/>
      <c r="S1030" s="457"/>
      <c r="T1030" s="459"/>
      <c r="U1030" s="457"/>
    </row>
    <row r="1031" spans="1:21" s="232" customFormat="1" ht="18.75" x14ac:dyDescent="0.2">
      <c r="A1031" s="498">
        <f>Tableau!AC87</f>
        <v>0</v>
      </c>
      <c r="B1031" s="469"/>
      <c r="C1031" s="231"/>
      <c r="D1031" s="448"/>
      <c r="E1031" s="448"/>
      <c r="F1031" s="448"/>
      <c r="G1031" s="448"/>
      <c r="H1031" s="448"/>
      <c r="I1031" s="448"/>
      <c r="J1031" s="448"/>
      <c r="K1031" s="425"/>
      <c r="L1031" s="498" t="str">
        <f>Tableau!AD95</f>
        <v/>
      </c>
      <c r="M1031" s="231"/>
      <c r="N1031" s="231"/>
      <c r="O1031" s="448"/>
      <c r="P1031" s="448"/>
      <c r="Q1031" s="448"/>
      <c r="R1031" s="448"/>
      <c r="S1031" s="448"/>
      <c r="T1031" s="449"/>
      <c r="U1031" s="448"/>
    </row>
    <row r="1032" spans="1:21" s="232" customFormat="1" ht="20.100000000000001" customHeight="1" x14ac:dyDescent="0.2">
      <c r="A1032" s="990" t="e">
        <f>IF(A1031="","",VLOOKUP(A1031,liste!$A$9:$G$145,2,FALSE))</f>
        <v>#N/A</v>
      </c>
      <c r="B1032" s="991" t="e">
        <v>#N/A</v>
      </c>
      <c r="C1032" s="991" t="e">
        <v>#N/A</v>
      </c>
      <c r="D1032" s="447"/>
      <c r="E1032" s="447"/>
      <c r="F1032" s="447"/>
      <c r="G1032" s="447"/>
      <c r="H1032" s="447"/>
      <c r="I1032" s="447"/>
      <c r="J1032" s="447"/>
      <c r="K1032" s="425"/>
      <c r="L1032" s="990" t="str">
        <f>IF(L1031="","",VLOOKUP(L1031,liste!$A$9:$G$145,2,FALSE))</f>
        <v/>
      </c>
      <c r="M1032" s="991" t="s">
        <v>288</v>
      </c>
      <c r="N1032" s="991" t="s">
        <v>288</v>
      </c>
      <c r="O1032" s="447"/>
      <c r="P1032" s="447"/>
      <c r="Q1032" s="447"/>
      <c r="R1032" s="447"/>
      <c r="S1032" s="447"/>
      <c r="T1032" s="428"/>
      <c r="U1032" s="447"/>
    </row>
    <row r="1033" spans="1:21" s="232" customFormat="1" ht="20.100000000000001" customHeight="1" x14ac:dyDescent="0.2">
      <c r="A1033" s="440"/>
      <c r="B1033" s="438"/>
      <c r="C1033" s="450" t="e">
        <f>IF(A1031="","",VLOOKUP(A1031,liste!$A$9:$G$145,4,FALSE))</f>
        <v>#N/A</v>
      </c>
      <c r="D1033" s="451"/>
      <c r="E1033" s="451"/>
      <c r="F1033" s="451"/>
      <c r="G1033" s="451"/>
      <c r="H1033" s="451"/>
      <c r="I1033" s="451"/>
      <c r="J1033" s="451"/>
      <c r="K1033" s="425"/>
      <c r="L1033" s="440"/>
      <c r="M1033" s="438"/>
      <c r="N1033" s="450" t="str">
        <f>IF(L1031="","",VLOOKUP(L1031,liste!$A$9:$G$145,4,FALSE))</f>
        <v/>
      </c>
      <c r="O1033" s="451"/>
      <c r="P1033" s="451"/>
      <c r="Q1033" s="451"/>
      <c r="R1033" s="451"/>
      <c r="S1033" s="451"/>
      <c r="T1033" s="452"/>
      <c r="U1033" s="451"/>
    </row>
    <row r="1034" spans="1:21" s="232" customFormat="1" ht="15.75" x14ac:dyDescent="0.2">
      <c r="A1034" s="473" t="e">
        <f>IF(A1031="","",VLOOKUP(A1031,liste!$A$9:$G$145,3,FALSE))</f>
        <v>#N/A</v>
      </c>
      <c r="B1034" s="438"/>
      <c r="C1034" s="438"/>
      <c r="D1034" s="455"/>
      <c r="E1034" s="455"/>
      <c r="F1034" s="455"/>
      <c r="G1034" s="455"/>
      <c r="H1034" s="455"/>
      <c r="I1034" s="455"/>
      <c r="J1034" s="455"/>
      <c r="K1034" s="425"/>
      <c r="L1034" s="468" t="str">
        <f>IF(L1031="","",VLOOKUP(L1031,liste!$A$9:$G$145,3,FALSE))</f>
        <v/>
      </c>
      <c r="M1034" s="438"/>
      <c r="N1034" s="438"/>
      <c r="O1034" s="454"/>
      <c r="P1034" s="454"/>
      <c r="Q1034" s="454"/>
      <c r="R1034" s="454"/>
      <c r="S1034" s="454"/>
      <c r="T1034" s="456"/>
      <c r="U1034" s="454"/>
    </row>
    <row r="1035" spans="1:21" s="232" customFormat="1" ht="12.75" x14ac:dyDescent="0.2">
      <c r="A1035" s="425"/>
      <c r="B1035" s="231"/>
      <c r="C1035" s="231"/>
      <c r="D1035" s="458"/>
      <c r="E1035" s="458"/>
      <c r="F1035" s="458"/>
      <c r="G1035" s="458"/>
      <c r="H1035" s="458"/>
      <c r="I1035" s="458"/>
      <c r="J1035" s="458"/>
      <c r="K1035" s="425"/>
      <c r="L1035" s="425"/>
      <c r="M1035" s="231"/>
      <c r="N1035" s="231"/>
      <c r="O1035" s="457"/>
      <c r="P1035" s="457"/>
      <c r="Q1035" s="457"/>
      <c r="R1035" s="457"/>
      <c r="S1035" s="457"/>
      <c r="T1035" s="459"/>
      <c r="U1035" s="457"/>
    </row>
    <row r="1036" spans="1:21" s="232" customFormat="1" ht="12.75" x14ac:dyDescent="0.2">
      <c r="A1036" s="425"/>
      <c r="B1036" s="231"/>
      <c r="C1036" s="231"/>
      <c r="D1036" s="231"/>
      <c r="E1036" s="231"/>
      <c r="F1036" s="231"/>
      <c r="G1036" s="231"/>
      <c r="H1036" s="231"/>
      <c r="I1036" s="231"/>
      <c r="J1036" s="428"/>
      <c r="K1036" s="425"/>
      <c r="L1036" s="425"/>
      <c r="M1036" s="231"/>
      <c r="N1036" s="231"/>
      <c r="O1036" s="231"/>
      <c r="P1036" s="231"/>
      <c r="Q1036" s="231"/>
      <c r="R1036" s="231"/>
      <c r="S1036" s="231"/>
      <c r="T1036" s="231"/>
      <c r="U1036" s="428"/>
    </row>
    <row r="1037" spans="1:21" s="232" customFormat="1" ht="20.100000000000001" customHeight="1" x14ac:dyDescent="0.2">
      <c r="A1037" s="988" t="s">
        <v>90</v>
      </c>
      <c r="B1037" s="989"/>
      <c r="C1037" s="989"/>
      <c r="D1037" s="461" t="s">
        <v>77</v>
      </c>
      <c r="E1037" s="461" t="s">
        <v>87</v>
      </c>
      <c r="F1037" s="461" t="s">
        <v>88</v>
      </c>
      <c r="G1037" s="231"/>
      <c r="H1037" s="231"/>
      <c r="I1037" s="231"/>
      <c r="J1037" s="428"/>
      <c r="K1037" s="425"/>
      <c r="L1037" s="988" t="s">
        <v>90</v>
      </c>
      <c r="M1037" s="989"/>
      <c r="N1037" s="989"/>
      <c r="O1037" s="461" t="s">
        <v>77</v>
      </c>
      <c r="P1037" s="461" t="s">
        <v>87</v>
      </c>
      <c r="Q1037" s="461" t="s">
        <v>88</v>
      </c>
      <c r="R1037" s="231"/>
      <c r="S1037" s="231"/>
      <c r="T1037" s="231"/>
      <c r="U1037" s="428"/>
    </row>
    <row r="1038" spans="1:21" s="232" customFormat="1" ht="20.100000000000001" customHeight="1" x14ac:dyDescent="0.2">
      <c r="A1038" s="462" t="e">
        <f>A1027</f>
        <v>#N/A</v>
      </c>
      <c r="B1038" s="426"/>
      <c r="C1038" s="449"/>
      <c r="D1038" s="448"/>
      <c r="E1038" s="448"/>
      <c r="F1038" s="448"/>
      <c r="G1038" s="231"/>
      <c r="H1038" s="231"/>
      <c r="I1038" s="231"/>
      <c r="J1038" s="428"/>
      <c r="K1038" s="425"/>
      <c r="L1038" s="462" t="str">
        <f>L1027</f>
        <v/>
      </c>
      <c r="M1038" s="426"/>
      <c r="N1038" s="449"/>
      <c r="O1038" s="448"/>
      <c r="P1038" s="448"/>
      <c r="Q1038" s="448"/>
      <c r="R1038" s="231"/>
      <c r="S1038" s="231"/>
      <c r="T1038" s="231"/>
      <c r="U1038" s="428"/>
    </row>
    <row r="1039" spans="1:21" s="232" customFormat="1" ht="20.100000000000001" customHeight="1" x14ac:dyDescent="0.2">
      <c r="A1039" s="463"/>
      <c r="B1039" s="233"/>
      <c r="C1039" s="452"/>
      <c r="D1039" s="451"/>
      <c r="E1039" s="451"/>
      <c r="F1039" s="451"/>
      <c r="G1039" s="231"/>
      <c r="H1039" s="231"/>
      <c r="I1039" s="231"/>
      <c r="J1039" s="428"/>
      <c r="K1039" s="425"/>
      <c r="L1039" s="463"/>
      <c r="M1039" s="233"/>
      <c r="N1039" s="452"/>
      <c r="O1039" s="451"/>
      <c r="P1039" s="451"/>
      <c r="Q1039" s="451"/>
      <c r="R1039" s="231"/>
      <c r="S1039" s="231"/>
      <c r="T1039" s="231"/>
      <c r="U1039" s="428"/>
    </row>
    <row r="1040" spans="1:21" s="232" customFormat="1" ht="20.100000000000001" customHeight="1" x14ac:dyDescent="0.2">
      <c r="A1040" s="462" t="e">
        <f>A1032</f>
        <v>#N/A</v>
      </c>
      <c r="B1040" s="426"/>
      <c r="C1040" s="449"/>
      <c r="D1040" s="448"/>
      <c r="E1040" s="448"/>
      <c r="F1040" s="448"/>
      <c r="G1040" s="231"/>
      <c r="H1040" s="231"/>
      <c r="I1040" s="231"/>
      <c r="J1040" s="428"/>
      <c r="K1040" s="425"/>
      <c r="L1040" s="462" t="str">
        <f>L1032</f>
        <v/>
      </c>
      <c r="M1040" s="426"/>
      <c r="N1040" s="449"/>
      <c r="O1040" s="448"/>
      <c r="P1040" s="448"/>
      <c r="Q1040" s="448"/>
      <c r="R1040" s="231"/>
      <c r="S1040" s="231"/>
      <c r="T1040" s="231"/>
      <c r="U1040" s="428"/>
    </row>
    <row r="1041" spans="1:21" s="232" customFormat="1" ht="20.100000000000001" customHeight="1" x14ac:dyDescent="0.2">
      <c r="A1041" s="463"/>
      <c r="B1041" s="233"/>
      <c r="C1041" s="452"/>
      <c r="D1041" s="451"/>
      <c r="E1041" s="451"/>
      <c r="F1041" s="451"/>
      <c r="G1041" s="231"/>
      <c r="H1041" s="231"/>
      <c r="I1041" s="231"/>
      <c r="J1041" s="428"/>
      <c r="K1041" s="425"/>
      <c r="L1041" s="463"/>
      <c r="M1041" s="233"/>
      <c r="N1041" s="452"/>
      <c r="O1041" s="451"/>
      <c r="P1041" s="451"/>
      <c r="Q1041" s="451"/>
      <c r="R1041" s="231"/>
      <c r="S1041" s="231"/>
      <c r="T1041" s="231"/>
      <c r="U1041" s="428"/>
    </row>
    <row r="1042" spans="1:21" s="232" customFormat="1" ht="12.75" x14ac:dyDescent="0.2">
      <c r="A1042" s="464" t="s">
        <v>91</v>
      </c>
      <c r="B1042" s="231"/>
      <c r="C1042" s="231"/>
      <c r="D1042" s="231"/>
      <c r="E1042" s="231"/>
      <c r="F1042" s="231"/>
      <c r="G1042" s="231"/>
      <c r="H1042" s="231"/>
      <c r="I1042" s="231"/>
      <c r="J1042" s="428"/>
      <c r="K1042" s="425"/>
      <c r="L1042" s="464" t="s">
        <v>91</v>
      </c>
      <c r="M1042" s="231"/>
      <c r="N1042" s="231"/>
      <c r="O1042" s="231"/>
      <c r="P1042" s="231"/>
      <c r="Q1042" s="231"/>
      <c r="R1042" s="231"/>
      <c r="S1042" s="231"/>
      <c r="T1042" s="231"/>
      <c r="U1042" s="428"/>
    </row>
    <row r="1043" spans="1:21" s="232" customFormat="1" ht="12.75" x14ac:dyDescent="0.2">
      <c r="A1043" s="425"/>
      <c r="B1043" s="231"/>
      <c r="C1043" s="231"/>
      <c r="D1043" s="231"/>
      <c r="E1043" s="231"/>
      <c r="F1043" s="231"/>
      <c r="G1043" s="231"/>
      <c r="H1043" s="231"/>
      <c r="I1043" s="231"/>
      <c r="J1043" s="428"/>
      <c r="K1043" s="425"/>
      <c r="L1043" s="425"/>
      <c r="M1043" s="231"/>
      <c r="N1043" s="231"/>
      <c r="O1043" s="231"/>
      <c r="P1043" s="231"/>
      <c r="Q1043" s="231"/>
      <c r="R1043" s="231"/>
      <c r="S1043" s="231"/>
      <c r="T1043" s="231"/>
      <c r="U1043" s="428"/>
    </row>
    <row r="1044" spans="1:21" s="232" customFormat="1" ht="12.75" customHeight="1" x14ac:dyDescent="0.2">
      <c r="A1044" s="465" t="s">
        <v>89</v>
      </c>
      <c r="B1044" s="233"/>
      <c r="C1044" s="233"/>
      <c r="D1044" s="233"/>
      <c r="E1044" s="233"/>
      <c r="F1044" s="233"/>
      <c r="G1044" s="233"/>
      <c r="H1044" s="233"/>
      <c r="I1044" s="233"/>
      <c r="J1044" s="452"/>
      <c r="K1044" s="425"/>
      <c r="L1044" s="465" t="s">
        <v>89</v>
      </c>
      <c r="M1044" s="233"/>
      <c r="N1044" s="233"/>
      <c r="O1044" s="233"/>
      <c r="P1044" s="233"/>
      <c r="Q1044" s="233"/>
      <c r="R1044" s="233"/>
      <c r="S1044" s="233"/>
      <c r="T1044" s="233"/>
      <c r="U1044" s="452"/>
    </row>
  </sheetData>
  <mergeCells count="586">
    <mergeCell ref="O299:U299"/>
    <mergeCell ref="O329:U329"/>
    <mergeCell ref="A212:C212"/>
    <mergeCell ref="L212:N212"/>
    <mergeCell ref="A220:C220"/>
    <mergeCell ref="L220:N220"/>
    <mergeCell ref="D213:J213"/>
    <mergeCell ref="O37:U37"/>
    <mergeCell ref="O39:U39"/>
    <mergeCell ref="O65:U65"/>
    <mergeCell ref="O67:U67"/>
    <mergeCell ref="O97:U97"/>
    <mergeCell ref="O123:U123"/>
    <mergeCell ref="O125:U125"/>
    <mergeCell ref="O153:U153"/>
    <mergeCell ref="O183:U183"/>
    <mergeCell ref="O211:U211"/>
    <mergeCell ref="O213:U213"/>
    <mergeCell ref="A195:C195"/>
    <mergeCell ref="L195:N195"/>
    <mergeCell ref="A185:C185"/>
    <mergeCell ref="L185:N185"/>
    <mergeCell ref="A205:J205"/>
    <mergeCell ref="L205:S205"/>
    <mergeCell ref="A208:D208"/>
    <mergeCell ref="L208:O208"/>
    <mergeCell ref="D211:J211"/>
    <mergeCell ref="L178:O178"/>
    <mergeCell ref="D181:J181"/>
    <mergeCell ref="A182:C182"/>
    <mergeCell ref="L182:N182"/>
    <mergeCell ref="O181:U181"/>
    <mergeCell ref="A178:D178"/>
    <mergeCell ref="A190:C190"/>
    <mergeCell ref="L190:N190"/>
    <mergeCell ref="D183:J183"/>
    <mergeCell ref="A236:D236"/>
    <mergeCell ref="L236:O236"/>
    <mergeCell ref="D239:J239"/>
    <mergeCell ref="A240:C240"/>
    <mergeCell ref="L240:N240"/>
    <mergeCell ref="A233:J233"/>
    <mergeCell ref="L233:S233"/>
    <mergeCell ref="A215:C215"/>
    <mergeCell ref="L215:N215"/>
    <mergeCell ref="A225:C225"/>
    <mergeCell ref="L225:N225"/>
    <mergeCell ref="O239:U239"/>
    <mergeCell ref="A263:J263"/>
    <mergeCell ref="L263:S263"/>
    <mergeCell ref="E264:F264"/>
    <mergeCell ref="P264:Q264"/>
    <mergeCell ref="A248:C248"/>
    <mergeCell ref="L248:N248"/>
    <mergeCell ref="A253:C253"/>
    <mergeCell ref="L253:N253"/>
    <mergeCell ref="D241:J241"/>
    <mergeCell ref="O241:U241"/>
    <mergeCell ref="A243:C243"/>
    <mergeCell ref="L243:N243"/>
    <mergeCell ref="D271:J271"/>
    <mergeCell ref="A273:C273"/>
    <mergeCell ref="L273:N273"/>
    <mergeCell ref="A266:D266"/>
    <mergeCell ref="L266:O266"/>
    <mergeCell ref="D269:J269"/>
    <mergeCell ref="A270:C270"/>
    <mergeCell ref="L270:N270"/>
    <mergeCell ref="O269:U269"/>
    <mergeCell ref="O271:U271"/>
    <mergeCell ref="O297:U297"/>
    <mergeCell ref="A291:J291"/>
    <mergeCell ref="L291:S291"/>
    <mergeCell ref="A294:D294"/>
    <mergeCell ref="L294:O294"/>
    <mergeCell ref="A278:C278"/>
    <mergeCell ref="L278:N278"/>
    <mergeCell ref="A283:C283"/>
    <mergeCell ref="L283:N283"/>
    <mergeCell ref="A341:C341"/>
    <mergeCell ref="L341:N341"/>
    <mergeCell ref="D329:J329"/>
    <mergeCell ref="A331:C331"/>
    <mergeCell ref="L331:N331"/>
    <mergeCell ref="D327:J327"/>
    <mergeCell ref="A328:C328"/>
    <mergeCell ref="L328:N328"/>
    <mergeCell ref="O327:U327"/>
    <mergeCell ref="A167:C167"/>
    <mergeCell ref="L167:N167"/>
    <mergeCell ref="A175:J175"/>
    <mergeCell ref="L175:S175"/>
    <mergeCell ref="A157:C157"/>
    <mergeCell ref="L157:N157"/>
    <mergeCell ref="A162:C162"/>
    <mergeCell ref="L162:N162"/>
    <mergeCell ref="A336:C336"/>
    <mergeCell ref="L336:N336"/>
    <mergeCell ref="A321:J321"/>
    <mergeCell ref="L321:S321"/>
    <mergeCell ref="A324:D324"/>
    <mergeCell ref="L324:O324"/>
    <mergeCell ref="A306:C306"/>
    <mergeCell ref="L306:N306"/>
    <mergeCell ref="A311:C311"/>
    <mergeCell ref="L311:N311"/>
    <mergeCell ref="D299:J299"/>
    <mergeCell ref="A301:C301"/>
    <mergeCell ref="L301:N301"/>
    <mergeCell ref="D297:J297"/>
    <mergeCell ref="A298:C298"/>
    <mergeCell ref="L298:N298"/>
    <mergeCell ref="D155:J155"/>
    <mergeCell ref="A150:D150"/>
    <mergeCell ref="L150:O150"/>
    <mergeCell ref="D153:J153"/>
    <mergeCell ref="A154:C154"/>
    <mergeCell ref="L154:N154"/>
    <mergeCell ref="O155:U155"/>
    <mergeCell ref="A117:J117"/>
    <mergeCell ref="L117:S117"/>
    <mergeCell ref="A120:D120"/>
    <mergeCell ref="L120:O120"/>
    <mergeCell ref="D123:J123"/>
    <mergeCell ref="A124:C124"/>
    <mergeCell ref="L124:N124"/>
    <mergeCell ref="A127:C127"/>
    <mergeCell ref="L127:N127"/>
    <mergeCell ref="D125:J125"/>
    <mergeCell ref="A147:J147"/>
    <mergeCell ref="L147:S147"/>
    <mergeCell ref="A132:C132"/>
    <mergeCell ref="L132:N132"/>
    <mergeCell ref="A137:C137"/>
    <mergeCell ref="L137:N137"/>
    <mergeCell ref="A104:C104"/>
    <mergeCell ref="L104:N104"/>
    <mergeCell ref="A109:C109"/>
    <mergeCell ref="L109:N109"/>
    <mergeCell ref="D97:J97"/>
    <mergeCell ref="A99:C99"/>
    <mergeCell ref="L99:N99"/>
    <mergeCell ref="D95:J95"/>
    <mergeCell ref="A96:C96"/>
    <mergeCell ref="L96:N96"/>
    <mergeCell ref="D65:J65"/>
    <mergeCell ref="A66:C66"/>
    <mergeCell ref="L66:N66"/>
    <mergeCell ref="A74:C74"/>
    <mergeCell ref="L74:N74"/>
    <mergeCell ref="A79:C79"/>
    <mergeCell ref="L79:N79"/>
    <mergeCell ref="O95:U95"/>
    <mergeCell ref="A89:J89"/>
    <mergeCell ref="L89:S89"/>
    <mergeCell ref="A92:D92"/>
    <mergeCell ref="L92:O92"/>
    <mergeCell ref="E90:F90"/>
    <mergeCell ref="P90:Q90"/>
    <mergeCell ref="P2:Q2"/>
    <mergeCell ref="L4:O4"/>
    <mergeCell ref="L1:S1"/>
    <mergeCell ref="O7:U7"/>
    <mergeCell ref="L8:N8"/>
    <mergeCell ref="L11:N11"/>
    <mergeCell ref="O9:U9"/>
    <mergeCell ref="A1:J1"/>
    <mergeCell ref="A11:C11"/>
    <mergeCell ref="E2:F2"/>
    <mergeCell ref="A8:C8"/>
    <mergeCell ref="D9:J9"/>
    <mergeCell ref="A4:D4"/>
    <mergeCell ref="D7:J7"/>
    <mergeCell ref="A16:C16"/>
    <mergeCell ref="A21:C21"/>
    <mergeCell ref="L21:N21"/>
    <mergeCell ref="E32:F32"/>
    <mergeCell ref="P32:Q32"/>
    <mergeCell ref="A34:D34"/>
    <mergeCell ref="L34:O34"/>
    <mergeCell ref="L16:N16"/>
    <mergeCell ref="L38:N38"/>
    <mergeCell ref="A349:J349"/>
    <mergeCell ref="L349:S349"/>
    <mergeCell ref="A352:D352"/>
    <mergeCell ref="L352:O352"/>
    <mergeCell ref="D37:J37"/>
    <mergeCell ref="A31:J31"/>
    <mergeCell ref="L31:S31"/>
    <mergeCell ref="A51:C51"/>
    <mergeCell ref="L51:N51"/>
    <mergeCell ref="A38:C38"/>
    <mergeCell ref="A41:C41"/>
    <mergeCell ref="L41:N41"/>
    <mergeCell ref="D39:J39"/>
    <mergeCell ref="A46:C46"/>
    <mergeCell ref="L46:N46"/>
    <mergeCell ref="A59:J59"/>
    <mergeCell ref="L59:S59"/>
    <mergeCell ref="A62:D62"/>
    <mergeCell ref="L62:O62"/>
    <mergeCell ref="E60:F60"/>
    <mergeCell ref="P60:Q60"/>
    <mergeCell ref="D67:J67"/>
    <mergeCell ref="A69:C69"/>
    <mergeCell ref="L69:N69"/>
    <mergeCell ref="A364:C364"/>
    <mergeCell ref="L364:N364"/>
    <mergeCell ref="A369:C369"/>
    <mergeCell ref="L369:N369"/>
    <mergeCell ref="D357:J357"/>
    <mergeCell ref="A359:C359"/>
    <mergeCell ref="L359:N359"/>
    <mergeCell ref="O357:U357"/>
    <mergeCell ref="D355:J355"/>
    <mergeCell ref="A356:C356"/>
    <mergeCell ref="L356:N356"/>
    <mergeCell ref="O355:U355"/>
    <mergeCell ref="A389:C389"/>
    <mergeCell ref="L389:N389"/>
    <mergeCell ref="A394:C394"/>
    <mergeCell ref="L394:N394"/>
    <mergeCell ref="A379:J379"/>
    <mergeCell ref="L379:S379"/>
    <mergeCell ref="A382:D382"/>
    <mergeCell ref="L382:O382"/>
    <mergeCell ref="D385:J385"/>
    <mergeCell ref="A386:C386"/>
    <mergeCell ref="L386:N386"/>
    <mergeCell ref="D387:J387"/>
    <mergeCell ref="O385:U385"/>
    <mergeCell ref="O387:U387"/>
    <mergeCell ref="A410:D410"/>
    <mergeCell ref="L410:O410"/>
    <mergeCell ref="D413:J413"/>
    <mergeCell ref="A414:C414"/>
    <mergeCell ref="L414:N414"/>
    <mergeCell ref="A399:C399"/>
    <mergeCell ref="L399:N399"/>
    <mergeCell ref="A407:J407"/>
    <mergeCell ref="L407:S407"/>
    <mergeCell ref="O413:U413"/>
    <mergeCell ref="A427:C427"/>
    <mergeCell ref="L427:N427"/>
    <mergeCell ref="A437:J437"/>
    <mergeCell ref="L437:S437"/>
    <mergeCell ref="D415:J415"/>
    <mergeCell ref="A417:C417"/>
    <mergeCell ref="L417:N417"/>
    <mergeCell ref="A422:C422"/>
    <mergeCell ref="L422:N422"/>
    <mergeCell ref="O415:U415"/>
    <mergeCell ref="A452:C452"/>
    <mergeCell ref="L452:N452"/>
    <mergeCell ref="A457:C457"/>
    <mergeCell ref="L457:N457"/>
    <mergeCell ref="D445:J445"/>
    <mergeCell ref="A447:C447"/>
    <mergeCell ref="L447:N447"/>
    <mergeCell ref="O445:U445"/>
    <mergeCell ref="A440:D440"/>
    <mergeCell ref="L440:O440"/>
    <mergeCell ref="D443:J443"/>
    <mergeCell ref="A444:C444"/>
    <mergeCell ref="L444:N444"/>
    <mergeCell ref="O443:U443"/>
    <mergeCell ref="A475:C475"/>
    <mergeCell ref="L475:N475"/>
    <mergeCell ref="A480:C480"/>
    <mergeCell ref="L480:N480"/>
    <mergeCell ref="A472:C472"/>
    <mergeCell ref="L472:N472"/>
    <mergeCell ref="D473:J473"/>
    <mergeCell ref="O473:U473"/>
    <mergeCell ref="A465:J465"/>
    <mergeCell ref="L465:S465"/>
    <mergeCell ref="D471:J471"/>
    <mergeCell ref="O471:U471"/>
    <mergeCell ref="A468:D468"/>
    <mergeCell ref="L468:O468"/>
    <mergeCell ref="A502:C502"/>
    <mergeCell ref="L502:N502"/>
    <mergeCell ref="D503:J503"/>
    <mergeCell ref="O503:U503"/>
    <mergeCell ref="A498:D498"/>
    <mergeCell ref="L498:O498"/>
    <mergeCell ref="D501:J501"/>
    <mergeCell ref="O501:U501"/>
    <mergeCell ref="A485:C485"/>
    <mergeCell ref="L485:N485"/>
    <mergeCell ref="A495:J495"/>
    <mergeCell ref="L495:S495"/>
    <mergeCell ref="A526:D526"/>
    <mergeCell ref="L526:O526"/>
    <mergeCell ref="D529:J529"/>
    <mergeCell ref="O529:U529"/>
    <mergeCell ref="A515:C515"/>
    <mergeCell ref="L515:N515"/>
    <mergeCell ref="A523:J523"/>
    <mergeCell ref="L523:S523"/>
    <mergeCell ref="A505:C505"/>
    <mergeCell ref="L505:N505"/>
    <mergeCell ref="A510:C510"/>
    <mergeCell ref="L510:N510"/>
    <mergeCell ref="A543:C543"/>
    <mergeCell ref="L543:N543"/>
    <mergeCell ref="A553:J553"/>
    <mergeCell ref="L553:S553"/>
    <mergeCell ref="A533:C533"/>
    <mergeCell ref="L533:N533"/>
    <mergeCell ref="A538:C538"/>
    <mergeCell ref="L538:N538"/>
    <mergeCell ref="A530:C530"/>
    <mergeCell ref="L530:N530"/>
    <mergeCell ref="D531:J531"/>
    <mergeCell ref="O531:U531"/>
    <mergeCell ref="A563:C563"/>
    <mergeCell ref="L563:N563"/>
    <mergeCell ref="A568:C568"/>
    <mergeCell ref="L568:N568"/>
    <mergeCell ref="A560:C560"/>
    <mergeCell ref="L560:N560"/>
    <mergeCell ref="D561:J561"/>
    <mergeCell ref="O561:U561"/>
    <mergeCell ref="A556:D556"/>
    <mergeCell ref="L556:O556"/>
    <mergeCell ref="D559:J559"/>
    <mergeCell ref="O559:U559"/>
    <mergeCell ref="A588:C588"/>
    <mergeCell ref="L588:N588"/>
    <mergeCell ref="D589:J589"/>
    <mergeCell ref="O589:U589"/>
    <mergeCell ref="A584:D584"/>
    <mergeCell ref="L584:O584"/>
    <mergeCell ref="D587:J587"/>
    <mergeCell ref="O587:U587"/>
    <mergeCell ref="A573:C573"/>
    <mergeCell ref="L573:N573"/>
    <mergeCell ref="A581:J581"/>
    <mergeCell ref="L581:S581"/>
    <mergeCell ref="A614:D614"/>
    <mergeCell ref="L614:O614"/>
    <mergeCell ref="D617:J617"/>
    <mergeCell ref="O617:U617"/>
    <mergeCell ref="A601:C601"/>
    <mergeCell ref="L601:N601"/>
    <mergeCell ref="A611:J611"/>
    <mergeCell ref="L611:S611"/>
    <mergeCell ref="A591:C591"/>
    <mergeCell ref="L591:N591"/>
    <mergeCell ref="A596:C596"/>
    <mergeCell ref="L596:N596"/>
    <mergeCell ref="A631:C631"/>
    <mergeCell ref="L631:N631"/>
    <mergeCell ref="A639:J639"/>
    <mergeCell ref="L639:S639"/>
    <mergeCell ref="A621:C621"/>
    <mergeCell ref="L621:N621"/>
    <mergeCell ref="A626:C626"/>
    <mergeCell ref="L626:N626"/>
    <mergeCell ref="A618:C618"/>
    <mergeCell ref="L618:N618"/>
    <mergeCell ref="D619:J619"/>
    <mergeCell ref="O619:U619"/>
    <mergeCell ref="A649:C649"/>
    <mergeCell ref="L649:N649"/>
    <mergeCell ref="A654:C654"/>
    <mergeCell ref="L654:N654"/>
    <mergeCell ref="A646:C646"/>
    <mergeCell ref="L646:N646"/>
    <mergeCell ref="D647:J647"/>
    <mergeCell ref="O647:U647"/>
    <mergeCell ref="A642:D642"/>
    <mergeCell ref="L642:O642"/>
    <mergeCell ref="D645:J645"/>
    <mergeCell ref="O645:U645"/>
    <mergeCell ref="A676:C676"/>
    <mergeCell ref="L676:N676"/>
    <mergeCell ref="D677:J677"/>
    <mergeCell ref="O677:U677"/>
    <mergeCell ref="A672:D672"/>
    <mergeCell ref="L672:O672"/>
    <mergeCell ref="D675:J675"/>
    <mergeCell ref="O675:U675"/>
    <mergeCell ref="A659:C659"/>
    <mergeCell ref="L659:N659"/>
    <mergeCell ref="A669:J669"/>
    <mergeCell ref="L669:S669"/>
    <mergeCell ref="A700:D700"/>
    <mergeCell ref="L700:O700"/>
    <mergeCell ref="D703:J703"/>
    <mergeCell ref="O703:U703"/>
    <mergeCell ref="A689:C689"/>
    <mergeCell ref="L689:N689"/>
    <mergeCell ref="A697:J697"/>
    <mergeCell ref="L697:S697"/>
    <mergeCell ref="A679:C679"/>
    <mergeCell ref="L679:N679"/>
    <mergeCell ref="A684:C684"/>
    <mergeCell ref="L684:N684"/>
    <mergeCell ref="A717:C717"/>
    <mergeCell ref="L717:N717"/>
    <mergeCell ref="A727:J727"/>
    <mergeCell ref="L727:S727"/>
    <mergeCell ref="A707:C707"/>
    <mergeCell ref="L707:N707"/>
    <mergeCell ref="A712:C712"/>
    <mergeCell ref="L712:N712"/>
    <mergeCell ref="A704:C704"/>
    <mergeCell ref="L704:N704"/>
    <mergeCell ref="D705:J705"/>
    <mergeCell ref="O705:U705"/>
    <mergeCell ref="A737:C737"/>
    <mergeCell ref="L737:N737"/>
    <mergeCell ref="A742:C742"/>
    <mergeCell ref="L742:N742"/>
    <mergeCell ref="A734:C734"/>
    <mergeCell ref="L734:N734"/>
    <mergeCell ref="D735:J735"/>
    <mergeCell ref="O735:U735"/>
    <mergeCell ref="A730:D730"/>
    <mergeCell ref="L730:O730"/>
    <mergeCell ref="D733:J733"/>
    <mergeCell ref="O733:U733"/>
    <mergeCell ref="A762:C762"/>
    <mergeCell ref="L762:N762"/>
    <mergeCell ref="D763:J763"/>
    <mergeCell ref="O763:U763"/>
    <mergeCell ref="A758:D758"/>
    <mergeCell ref="L758:O758"/>
    <mergeCell ref="D761:J761"/>
    <mergeCell ref="O761:U761"/>
    <mergeCell ref="A747:C747"/>
    <mergeCell ref="L747:N747"/>
    <mergeCell ref="A755:J755"/>
    <mergeCell ref="L755:S755"/>
    <mergeCell ref="A788:D788"/>
    <mergeCell ref="L788:O788"/>
    <mergeCell ref="D791:J791"/>
    <mergeCell ref="O791:U791"/>
    <mergeCell ref="A775:C775"/>
    <mergeCell ref="L775:N775"/>
    <mergeCell ref="A785:J785"/>
    <mergeCell ref="L785:S785"/>
    <mergeCell ref="A765:C765"/>
    <mergeCell ref="L765:N765"/>
    <mergeCell ref="A770:C770"/>
    <mergeCell ref="L770:N770"/>
    <mergeCell ref="A805:C805"/>
    <mergeCell ref="L805:N805"/>
    <mergeCell ref="A813:J813"/>
    <mergeCell ref="L813:S813"/>
    <mergeCell ref="A795:C795"/>
    <mergeCell ref="L795:N795"/>
    <mergeCell ref="A800:C800"/>
    <mergeCell ref="L800:N800"/>
    <mergeCell ref="A792:C792"/>
    <mergeCell ref="L792:N792"/>
    <mergeCell ref="D793:J793"/>
    <mergeCell ref="O793:U793"/>
    <mergeCell ref="A823:C823"/>
    <mergeCell ref="L823:N823"/>
    <mergeCell ref="A828:C828"/>
    <mergeCell ref="L828:N828"/>
    <mergeCell ref="A820:C820"/>
    <mergeCell ref="L820:N820"/>
    <mergeCell ref="D821:J821"/>
    <mergeCell ref="O821:U821"/>
    <mergeCell ref="A816:D816"/>
    <mergeCell ref="L816:O816"/>
    <mergeCell ref="D819:J819"/>
    <mergeCell ref="O819:U819"/>
    <mergeCell ref="A850:C850"/>
    <mergeCell ref="L850:N850"/>
    <mergeCell ref="D851:J851"/>
    <mergeCell ref="O851:U851"/>
    <mergeCell ref="A846:D846"/>
    <mergeCell ref="L846:O846"/>
    <mergeCell ref="D849:J849"/>
    <mergeCell ref="O849:U849"/>
    <mergeCell ref="A833:C833"/>
    <mergeCell ref="L833:N833"/>
    <mergeCell ref="A843:J843"/>
    <mergeCell ref="L843:S843"/>
    <mergeCell ref="A874:D874"/>
    <mergeCell ref="L874:O874"/>
    <mergeCell ref="D877:J877"/>
    <mergeCell ref="O877:U877"/>
    <mergeCell ref="A863:C863"/>
    <mergeCell ref="L863:N863"/>
    <mergeCell ref="A871:J871"/>
    <mergeCell ref="L871:S871"/>
    <mergeCell ref="A853:C853"/>
    <mergeCell ref="L853:N853"/>
    <mergeCell ref="A858:C858"/>
    <mergeCell ref="L858:N858"/>
    <mergeCell ref="A891:C891"/>
    <mergeCell ref="L891:N891"/>
    <mergeCell ref="A901:J901"/>
    <mergeCell ref="L901:S901"/>
    <mergeCell ref="A881:C881"/>
    <mergeCell ref="L881:N881"/>
    <mergeCell ref="A886:C886"/>
    <mergeCell ref="L886:N886"/>
    <mergeCell ref="A878:C878"/>
    <mergeCell ref="L878:N878"/>
    <mergeCell ref="D879:J879"/>
    <mergeCell ref="O879:U879"/>
    <mergeCell ref="A911:C911"/>
    <mergeCell ref="L911:N911"/>
    <mergeCell ref="A916:C916"/>
    <mergeCell ref="L916:N916"/>
    <mergeCell ref="A908:C908"/>
    <mergeCell ref="L908:N908"/>
    <mergeCell ref="D909:J909"/>
    <mergeCell ref="O909:U909"/>
    <mergeCell ref="A904:D904"/>
    <mergeCell ref="L904:O904"/>
    <mergeCell ref="D907:J907"/>
    <mergeCell ref="O907:U907"/>
    <mergeCell ref="A936:C936"/>
    <mergeCell ref="L936:N936"/>
    <mergeCell ref="D937:J937"/>
    <mergeCell ref="O937:U937"/>
    <mergeCell ref="A932:D932"/>
    <mergeCell ref="L932:O932"/>
    <mergeCell ref="D935:J935"/>
    <mergeCell ref="O935:U935"/>
    <mergeCell ref="A921:C921"/>
    <mergeCell ref="L921:N921"/>
    <mergeCell ref="A929:J929"/>
    <mergeCell ref="L929:S929"/>
    <mergeCell ref="A962:D962"/>
    <mergeCell ref="L962:O962"/>
    <mergeCell ref="D965:J965"/>
    <mergeCell ref="O965:U965"/>
    <mergeCell ref="A949:C949"/>
    <mergeCell ref="L949:N949"/>
    <mergeCell ref="A959:J959"/>
    <mergeCell ref="L959:S959"/>
    <mergeCell ref="A939:C939"/>
    <mergeCell ref="L939:N939"/>
    <mergeCell ref="A944:C944"/>
    <mergeCell ref="L944:N944"/>
    <mergeCell ref="A979:C979"/>
    <mergeCell ref="L979:N979"/>
    <mergeCell ref="A987:J987"/>
    <mergeCell ref="L987:S987"/>
    <mergeCell ref="A969:C969"/>
    <mergeCell ref="L969:N969"/>
    <mergeCell ref="A974:C974"/>
    <mergeCell ref="L974:N974"/>
    <mergeCell ref="A966:C966"/>
    <mergeCell ref="L966:N966"/>
    <mergeCell ref="D967:J967"/>
    <mergeCell ref="O967:U967"/>
    <mergeCell ref="A997:C997"/>
    <mergeCell ref="L997:N997"/>
    <mergeCell ref="A1002:C1002"/>
    <mergeCell ref="L1002:N1002"/>
    <mergeCell ref="A994:C994"/>
    <mergeCell ref="L994:N994"/>
    <mergeCell ref="D995:J995"/>
    <mergeCell ref="O995:U995"/>
    <mergeCell ref="A990:D990"/>
    <mergeCell ref="L990:O990"/>
    <mergeCell ref="D993:J993"/>
    <mergeCell ref="O993:U993"/>
    <mergeCell ref="O1025:U1025"/>
    <mergeCell ref="A1020:D1020"/>
    <mergeCell ref="L1020:O1020"/>
    <mergeCell ref="D1023:J1023"/>
    <mergeCell ref="O1023:U1023"/>
    <mergeCell ref="A1007:C1007"/>
    <mergeCell ref="L1007:N1007"/>
    <mergeCell ref="A1017:J1017"/>
    <mergeCell ref="L1017:S1017"/>
    <mergeCell ref="A1037:C1037"/>
    <mergeCell ref="L1037:N1037"/>
    <mergeCell ref="A1027:C1027"/>
    <mergeCell ref="L1027:N1027"/>
    <mergeCell ref="A1032:C1032"/>
    <mergeCell ref="L1032:N1032"/>
    <mergeCell ref="A1024:C1024"/>
    <mergeCell ref="L1024:N1024"/>
    <mergeCell ref="D1025:J1025"/>
  </mergeCells>
  <phoneticPr fontId="0" type="noConversion"/>
  <printOptions horizontalCentered="1" verticalCentered="1"/>
  <pageMargins left="0.13" right="0.14000000000000001" top="0.27559055118110237" bottom="0.47244094488188981" header="0.13" footer="0.47244094488188981"/>
  <pageSetup paperSize="9" scale="65" orientation="portrait" horizontalDpi="300" verticalDpi="300" r:id="rId1"/>
  <headerFooter alignWithMargins="0"/>
  <rowBreaks count="17" manualBreakCount="17">
    <brk id="58" max="16383" man="1"/>
    <brk id="116" max="16383" man="1"/>
    <brk id="174" max="16383" man="1"/>
    <brk id="232" max="16383" man="1"/>
    <brk id="290" max="16383" man="1"/>
    <brk id="348" max="16383" man="1"/>
    <brk id="406" max="16383" man="1"/>
    <brk id="464" max="16383" man="1"/>
    <brk id="522" max="16383" man="1"/>
    <brk id="580" max="16383" man="1"/>
    <brk id="638" max="16383" man="1"/>
    <brk id="696" max="16383" man="1"/>
    <brk id="754" max="16383" man="1"/>
    <brk id="812" max="16383" man="1"/>
    <brk id="870" max="16383" man="1"/>
    <brk id="928" max="16383" man="1"/>
    <brk id="9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146"/>
  <sheetViews>
    <sheetView showGridLines="0" tabSelected="1" topLeftCell="A19" zoomScale="75" zoomScaleNormal="100" workbookViewId="0">
      <selection activeCell="K37" sqref="K37"/>
    </sheetView>
  </sheetViews>
  <sheetFormatPr baseColWidth="10" defaultColWidth="11.5703125" defaultRowHeight="15.75" zeroHeight="1" outlineLevelRow="1" x14ac:dyDescent="0.2"/>
  <cols>
    <col min="1" max="1" width="6.7109375" style="726" customWidth="1"/>
    <col min="2" max="2" width="28.140625" style="713" customWidth="1"/>
    <col min="3" max="3" width="26.42578125" style="713" customWidth="1"/>
    <col min="4" max="4" width="5.5703125" style="726" customWidth="1"/>
    <col min="5" max="5" width="7.42578125" style="726" customWidth="1"/>
    <col min="6" max="6" width="6.7109375" style="726" customWidth="1"/>
    <col min="7" max="7" width="10.7109375" style="713" customWidth="1"/>
    <col min="8" max="8" width="11.7109375" style="713" hidden="1" customWidth="1"/>
    <col min="9" max="9" width="4.140625" style="713" customWidth="1"/>
    <col min="10" max="16384" width="11.5703125" style="713"/>
  </cols>
  <sheetData>
    <row r="1" spans="1:9" s="690" customFormat="1" ht="18.75" x14ac:dyDescent="0.2">
      <c r="A1" s="689" t="s">
        <v>0</v>
      </c>
      <c r="D1" s="691"/>
      <c r="E1" s="692" t="s">
        <v>182</v>
      </c>
      <c r="F1" s="797" t="str">
        <f>Rens!E1</f>
        <v>2018/2019</v>
      </c>
      <c r="G1" s="797"/>
      <c r="H1" s="693"/>
      <c r="I1" s="694"/>
    </row>
    <row r="2" spans="1:9" s="690" customFormat="1" ht="18.75" x14ac:dyDescent="0.2">
      <c r="A2" s="689" t="s">
        <v>1</v>
      </c>
      <c r="D2" s="691"/>
      <c r="E2" s="695" t="s">
        <v>164</v>
      </c>
      <c r="F2" s="696"/>
      <c r="G2" s="697">
        <f>Rens!E2</f>
        <v>1</v>
      </c>
      <c r="I2" s="694"/>
    </row>
    <row r="3" spans="1:9" s="690" customFormat="1" ht="11.25" x14ac:dyDescent="0.2">
      <c r="A3" s="698"/>
      <c r="B3" s="699"/>
      <c r="C3" s="699"/>
      <c r="D3" s="698"/>
      <c r="E3" s="700"/>
      <c r="F3" s="698"/>
      <c r="I3" s="694"/>
    </row>
    <row r="4" spans="1:9" s="703" customFormat="1" ht="26.25" x14ac:dyDescent="0.2">
      <c r="A4" s="798" t="str">
        <f>Rens!A1</f>
        <v>Circuit décathlon</v>
      </c>
      <c r="B4" s="798"/>
      <c r="C4" s="798"/>
      <c r="D4" s="798"/>
      <c r="E4" s="798"/>
      <c r="F4" s="798"/>
      <c r="G4" s="798"/>
      <c r="H4" s="701"/>
      <c r="I4" s="702"/>
    </row>
    <row r="5" spans="1:9" s="703" customFormat="1" ht="21" x14ac:dyDescent="0.2">
      <c r="A5" s="799" t="str">
        <f>Rens!B2</f>
        <v>Champagné</v>
      </c>
      <c r="B5" s="799"/>
      <c r="C5" s="799"/>
      <c r="D5" s="799"/>
      <c r="E5" s="799"/>
      <c r="F5" s="799"/>
      <c r="G5" s="799"/>
      <c r="H5" s="704"/>
      <c r="I5" s="702"/>
    </row>
    <row r="6" spans="1:9" s="703" customFormat="1" ht="21" x14ac:dyDescent="0.2">
      <c r="A6" s="800" t="str">
        <f>Rens!B3</f>
        <v>Minimes</v>
      </c>
      <c r="B6" s="800"/>
      <c r="C6" s="800"/>
      <c r="D6" s="800"/>
      <c r="E6" s="800"/>
      <c r="F6" s="800"/>
      <c r="G6" s="800"/>
      <c r="H6" s="705"/>
      <c r="I6" s="702"/>
    </row>
    <row r="7" spans="1:9" s="703" customFormat="1" ht="21" x14ac:dyDescent="0.2">
      <c r="A7" s="796">
        <f>Rens!B4</f>
        <v>43421</v>
      </c>
      <c r="B7" s="796"/>
      <c r="C7" s="796"/>
      <c r="D7" s="796"/>
      <c r="E7" s="796"/>
      <c r="F7" s="796"/>
      <c r="G7" s="796"/>
      <c r="H7" s="706"/>
      <c r="I7" s="702"/>
    </row>
    <row r="8" spans="1:9" s="690" customFormat="1" ht="19.899999999999999" customHeight="1" x14ac:dyDescent="0.2">
      <c r="A8" s="707" t="s">
        <v>8</v>
      </c>
      <c r="B8" s="708" t="s">
        <v>15</v>
      </c>
      <c r="C8" s="708" t="s">
        <v>80</v>
      </c>
      <c r="D8" s="707" t="s">
        <v>81</v>
      </c>
      <c r="E8" s="707" t="s">
        <v>82</v>
      </c>
      <c r="F8" s="707" t="s">
        <v>271</v>
      </c>
      <c r="G8" s="707" t="s">
        <v>16</v>
      </c>
      <c r="H8" s="709" t="s">
        <v>93</v>
      </c>
      <c r="I8" s="694"/>
    </row>
    <row r="9" spans="1:9" ht="19.899999999999999" customHeight="1" x14ac:dyDescent="0.2">
      <c r="A9" s="710">
        <v>1</v>
      </c>
      <c r="B9" s="778" t="s">
        <v>316</v>
      </c>
      <c r="C9" s="778" t="s">
        <v>301</v>
      </c>
      <c r="D9" s="779">
        <v>5</v>
      </c>
      <c r="E9" s="776"/>
      <c r="F9" s="779">
        <v>500</v>
      </c>
      <c r="G9" s="760">
        <v>7223059</v>
      </c>
      <c r="H9" s="711">
        <v>4424818</v>
      </c>
      <c r="I9" s="712">
        <v>1</v>
      </c>
    </row>
    <row r="10" spans="1:9" ht="19.899999999999999" customHeight="1" x14ac:dyDescent="0.2">
      <c r="A10" s="710">
        <v>2</v>
      </c>
      <c r="B10" s="778" t="s">
        <v>317</v>
      </c>
      <c r="C10" s="778" t="s">
        <v>309</v>
      </c>
      <c r="D10" s="779">
        <v>5</v>
      </c>
      <c r="E10" s="776"/>
      <c r="F10" s="779">
        <v>500</v>
      </c>
      <c r="G10" s="760">
        <v>7223092</v>
      </c>
      <c r="H10" s="714">
        <v>729677</v>
      </c>
      <c r="I10" s="712">
        <v>2</v>
      </c>
    </row>
    <row r="11" spans="1:9" ht="19.899999999999999" customHeight="1" x14ac:dyDescent="0.2">
      <c r="A11" s="710">
        <v>3</v>
      </c>
      <c r="B11" s="778" t="s">
        <v>318</v>
      </c>
      <c r="C11" s="778" t="s">
        <v>309</v>
      </c>
      <c r="D11" s="779">
        <v>5</v>
      </c>
      <c r="E11" s="776"/>
      <c r="F11" s="779">
        <v>500</v>
      </c>
      <c r="G11" s="760">
        <v>7223284</v>
      </c>
      <c r="H11" s="714">
        <v>724113</v>
      </c>
      <c r="I11" s="712">
        <v>3</v>
      </c>
    </row>
    <row r="12" spans="1:9" ht="19.899999999999999" customHeight="1" x14ac:dyDescent="0.2">
      <c r="A12" s="710">
        <v>4</v>
      </c>
      <c r="B12" s="778" t="s">
        <v>319</v>
      </c>
      <c r="C12" s="778" t="s">
        <v>303</v>
      </c>
      <c r="D12" s="779">
        <v>5</v>
      </c>
      <c r="E12" s="776"/>
      <c r="F12" s="779">
        <v>500</v>
      </c>
      <c r="G12" s="760">
        <v>7223188</v>
      </c>
      <c r="H12" s="714">
        <v>4923654</v>
      </c>
      <c r="I12" s="712">
        <v>4</v>
      </c>
    </row>
    <row r="13" spans="1:9" ht="19.899999999999999" customHeight="1" x14ac:dyDescent="0.2">
      <c r="A13" s="710">
        <v>5</v>
      </c>
      <c r="B13" s="778" t="s">
        <v>320</v>
      </c>
      <c r="C13" s="778" t="s">
        <v>303</v>
      </c>
      <c r="D13" s="779">
        <v>5</v>
      </c>
      <c r="E13" s="776"/>
      <c r="F13" s="779">
        <v>500</v>
      </c>
      <c r="G13" s="760">
        <v>7223318</v>
      </c>
      <c r="H13" s="714">
        <v>4921351</v>
      </c>
      <c r="I13" s="712">
        <v>5</v>
      </c>
    </row>
    <row r="14" spans="1:9" ht="19.899999999999999" customHeight="1" x14ac:dyDescent="0.2">
      <c r="A14" s="710">
        <v>6</v>
      </c>
      <c r="B14" s="778" t="s">
        <v>321</v>
      </c>
      <c r="C14" s="778" t="s">
        <v>303</v>
      </c>
      <c r="D14" s="779">
        <v>5</v>
      </c>
      <c r="E14" s="776"/>
      <c r="F14" s="779">
        <v>500</v>
      </c>
      <c r="G14" s="760">
        <v>7223255</v>
      </c>
      <c r="H14" s="714">
        <v>493263</v>
      </c>
      <c r="I14" s="712">
        <v>6</v>
      </c>
    </row>
    <row r="15" spans="1:9" ht="19.899999999999999" customHeight="1" x14ac:dyDescent="0.2">
      <c r="A15" s="710">
        <v>7</v>
      </c>
      <c r="B15" s="778" t="s">
        <v>322</v>
      </c>
      <c r="C15" s="778" t="s">
        <v>310</v>
      </c>
      <c r="D15" s="779">
        <v>5</v>
      </c>
      <c r="E15" s="776"/>
      <c r="F15" s="779">
        <v>500</v>
      </c>
      <c r="G15" s="760">
        <v>7223346</v>
      </c>
      <c r="H15" s="714">
        <v>799058</v>
      </c>
      <c r="I15" s="712">
        <v>7</v>
      </c>
    </row>
    <row r="16" spans="1:9" ht="19.899999999999999" customHeight="1" x14ac:dyDescent="0.2">
      <c r="A16" s="710">
        <v>8</v>
      </c>
      <c r="B16" s="778" t="s">
        <v>323</v>
      </c>
      <c r="C16" s="778" t="s">
        <v>310</v>
      </c>
      <c r="D16" s="779">
        <v>5</v>
      </c>
      <c r="E16" s="776"/>
      <c r="F16" s="779">
        <v>500</v>
      </c>
      <c r="G16" s="760">
        <v>7223163</v>
      </c>
      <c r="H16" s="714">
        <v>728304</v>
      </c>
      <c r="I16" s="712">
        <v>8</v>
      </c>
    </row>
    <row r="17" spans="1:9" ht="19.899999999999999" customHeight="1" x14ac:dyDescent="0.2">
      <c r="A17" s="710">
        <v>9</v>
      </c>
      <c r="B17" s="778" t="s">
        <v>324</v>
      </c>
      <c r="C17" s="778" t="s">
        <v>311</v>
      </c>
      <c r="D17" s="779">
        <v>5</v>
      </c>
      <c r="E17" s="776"/>
      <c r="F17" s="779">
        <v>500</v>
      </c>
      <c r="G17" s="760">
        <v>7223212</v>
      </c>
      <c r="H17" s="714">
        <v>4920343</v>
      </c>
      <c r="I17" s="712">
        <v>9</v>
      </c>
    </row>
    <row r="18" spans="1:9" ht="19.899999999999999" customHeight="1" x14ac:dyDescent="0.2">
      <c r="A18" s="710">
        <v>10</v>
      </c>
      <c r="B18" s="778" t="s">
        <v>325</v>
      </c>
      <c r="C18" s="778" t="s">
        <v>311</v>
      </c>
      <c r="D18" s="779">
        <v>5</v>
      </c>
      <c r="E18" s="776"/>
      <c r="F18" s="779">
        <v>500</v>
      </c>
      <c r="G18" s="760">
        <v>7223249</v>
      </c>
      <c r="H18" s="714">
        <v>8514200</v>
      </c>
      <c r="I18" s="712">
        <v>10</v>
      </c>
    </row>
    <row r="19" spans="1:9" ht="19.899999999999999" customHeight="1" x14ac:dyDescent="0.2">
      <c r="A19" s="710">
        <v>11</v>
      </c>
      <c r="B19" s="778" t="s">
        <v>326</v>
      </c>
      <c r="C19" s="778" t="s">
        <v>302</v>
      </c>
      <c r="D19" s="779">
        <v>5</v>
      </c>
      <c r="E19" s="776"/>
      <c r="F19" s="779">
        <v>500</v>
      </c>
      <c r="G19" s="760">
        <v>7223082</v>
      </c>
      <c r="H19" s="714">
        <v>448388</v>
      </c>
      <c r="I19" s="712">
        <v>11</v>
      </c>
    </row>
    <row r="20" spans="1:9" ht="19.899999999999999" customHeight="1" x14ac:dyDescent="0.2">
      <c r="A20" s="710">
        <v>12</v>
      </c>
      <c r="B20" s="778" t="s">
        <v>327</v>
      </c>
      <c r="C20" s="778" t="s">
        <v>302</v>
      </c>
      <c r="D20" s="779">
        <v>5</v>
      </c>
      <c r="E20" s="776"/>
      <c r="F20" s="779">
        <v>500</v>
      </c>
      <c r="G20" s="760">
        <v>7223269</v>
      </c>
      <c r="H20" s="714">
        <v>7230</v>
      </c>
      <c r="I20" s="712">
        <v>12</v>
      </c>
    </row>
    <row r="21" spans="1:9" ht="19.899999999999999" customHeight="1" x14ac:dyDescent="0.2">
      <c r="A21" s="710">
        <v>13</v>
      </c>
      <c r="B21" s="778" t="s">
        <v>328</v>
      </c>
      <c r="C21" s="778" t="s">
        <v>302</v>
      </c>
      <c r="D21" s="779">
        <v>5</v>
      </c>
      <c r="E21" s="776"/>
      <c r="F21" s="779">
        <v>500</v>
      </c>
      <c r="G21" s="760">
        <v>7223178</v>
      </c>
      <c r="H21" s="714">
        <v>4910820</v>
      </c>
      <c r="I21" s="712">
        <v>13</v>
      </c>
    </row>
    <row r="22" spans="1:9" ht="19.899999999999999" customHeight="1" x14ac:dyDescent="0.2">
      <c r="A22" s="710">
        <v>14</v>
      </c>
      <c r="B22" s="778" t="s">
        <v>329</v>
      </c>
      <c r="C22" s="778" t="s">
        <v>312</v>
      </c>
      <c r="D22" s="779">
        <v>5</v>
      </c>
      <c r="E22" s="776"/>
      <c r="F22" s="779">
        <v>500</v>
      </c>
      <c r="G22" s="760">
        <v>7223235</v>
      </c>
      <c r="H22" s="714">
        <v>8515671</v>
      </c>
      <c r="I22" s="712">
        <v>14</v>
      </c>
    </row>
    <row r="23" spans="1:9" ht="19.899999999999999" customHeight="1" x14ac:dyDescent="0.2">
      <c r="A23" s="710">
        <v>15</v>
      </c>
      <c r="B23" s="778" t="s">
        <v>340</v>
      </c>
      <c r="C23" s="778" t="s">
        <v>302</v>
      </c>
      <c r="D23" s="779">
        <v>5</v>
      </c>
      <c r="E23" s="776"/>
      <c r="F23" s="779">
        <v>500</v>
      </c>
      <c r="G23" s="760">
        <v>7223034</v>
      </c>
      <c r="H23" s="714">
        <v>72535</v>
      </c>
      <c r="I23" s="712">
        <v>15</v>
      </c>
    </row>
    <row r="24" spans="1:9" ht="19.899999999999999" customHeight="1" x14ac:dyDescent="0.2">
      <c r="A24" s="710">
        <v>16</v>
      </c>
      <c r="B24" s="778" t="s">
        <v>341</v>
      </c>
      <c r="C24" s="778" t="s">
        <v>342</v>
      </c>
      <c r="D24" s="779">
        <v>5</v>
      </c>
      <c r="E24" s="776"/>
      <c r="F24" s="779">
        <v>500</v>
      </c>
      <c r="G24" s="760">
        <v>7223268</v>
      </c>
      <c r="H24" s="714">
        <v>4475</v>
      </c>
      <c r="I24" s="712">
        <v>16</v>
      </c>
    </row>
    <row r="25" spans="1:9" ht="19.899999999999999" customHeight="1" x14ac:dyDescent="0.2">
      <c r="A25" s="710">
        <v>17</v>
      </c>
      <c r="B25" s="778" t="s">
        <v>331</v>
      </c>
      <c r="C25" s="778" t="s">
        <v>304</v>
      </c>
      <c r="D25" s="779">
        <v>5</v>
      </c>
      <c r="E25" s="776"/>
      <c r="F25" s="779">
        <v>500</v>
      </c>
      <c r="G25" s="777">
        <v>7223056</v>
      </c>
      <c r="H25" s="714">
        <v>4413816</v>
      </c>
      <c r="I25" s="712">
        <v>17</v>
      </c>
    </row>
    <row r="26" spans="1:9" ht="19.899999999999999" customHeight="1" x14ac:dyDescent="0.2">
      <c r="A26" s="710">
        <v>18</v>
      </c>
      <c r="B26" s="778" t="s">
        <v>330</v>
      </c>
      <c r="C26" s="778" t="s">
        <v>313</v>
      </c>
      <c r="D26" s="779">
        <v>5</v>
      </c>
      <c r="E26" s="776"/>
      <c r="F26" s="779">
        <v>500</v>
      </c>
      <c r="G26" s="760">
        <v>7223616</v>
      </c>
      <c r="H26" s="714">
        <v>5313656</v>
      </c>
      <c r="I26" s="712">
        <v>18</v>
      </c>
    </row>
    <row r="27" spans="1:9" ht="19.899999999999999" customHeight="1" x14ac:dyDescent="0.2">
      <c r="A27" s="710">
        <v>19</v>
      </c>
      <c r="B27" s="778" t="s">
        <v>343</v>
      </c>
      <c r="C27" s="778" t="s">
        <v>345</v>
      </c>
      <c r="D27" s="779">
        <v>5</v>
      </c>
      <c r="E27" s="776"/>
      <c r="F27" s="779">
        <v>500</v>
      </c>
      <c r="G27" s="760">
        <v>7223344</v>
      </c>
      <c r="H27" s="714">
        <v>4916679</v>
      </c>
      <c r="I27" s="712">
        <v>19</v>
      </c>
    </row>
    <row r="28" spans="1:9" ht="19.899999999999999" customHeight="1" x14ac:dyDescent="0.2">
      <c r="A28" s="715">
        <v>20</v>
      </c>
      <c r="B28" s="778" t="s">
        <v>332</v>
      </c>
      <c r="C28" s="778" t="s">
        <v>314</v>
      </c>
      <c r="D28" s="779">
        <v>5</v>
      </c>
      <c r="E28" s="776"/>
      <c r="F28" s="779">
        <v>500</v>
      </c>
      <c r="G28" s="760">
        <v>7223665</v>
      </c>
      <c r="H28" s="714">
        <v>4920163</v>
      </c>
      <c r="I28" s="712">
        <v>20</v>
      </c>
    </row>
    <row r="29" spans="1:9" ht="19.899999999999999" customHeight="1" x14ac:dyDescent="0.2">
      <c r="A29" s="710">
        <v>21</v>
      </c>
      <c r="B29" s="778" t="s">
        <v>333</v>
      </c>
      <c r="C29" s="778" t="s">
        <v>305</v>
      </c>
      <c r="D29" s="779">
        <v>5</v>
      </c>
      <c r="E29" s="776"/>
      <c r="F29" s="779">
        <v>500</v>
      </c>
      <c r="G29" s="760">
        <v>7223227</v>
      </c>
      <c r="H29" s="714">
        <v>4924730</v>
      </c>
      <c r="I29" s="712">
        <v>21</v>
      </c>
    </row>
    <row r="30" spans="1:9" ht="19.899999999999999" customHeight="1" x14ac:dyDescent="0.2">
      <c r="A30" s="710">
        <v>22</v>
      </c>
      <c r="B30" s="778" t="s">
        <v>346</v>
      </c>
      <c r="C30" s="778" t="s">
        <v>344</v>
      </c>
      <c r="D30" s="779">
        <v>5</v>
      </c>
      <c r="E30" s="776"/>
      <c r="F30" s="779">
        <v>500</v>
      </c>
      <c r="G30" s="760">
        <v>7223106</v>
      </c>
      <c r="H30" s="714">
        <v>858604</v>
      </c>
      <c r="I30" s="712">
        <v>22</v>
      </c>
    </row>
    <row r="31" spans="1:9" ht="19.899999999999999" customHeight="1" x14ac:dyDescent="0.2">
      <c r="A31" s="710">
        <v>23</v>
      </c>
      <c r="B31" s="778" t="s">
        <v>334</v>
      </c>
      <c r="C31" s="778" t="s">
        <v>305</v>
      </c>
      <c r="D31" s="779">
        <v>5</v>
      </c>
      <c r="E31" s="776"/>
      <c r="F31" s="779">
        <v>500</v>
      </c>
      <c r="G31" s="760">
        <v>7223032</v>
      </c>
      <c r="H31" s="714">
        <v>859891</v>
      </c>
      <c r="I31" s="712">
        <v>23</v>
      </c>
    </row>
    <row r="32" spans="1:9" ht="19.899999999999999" customHeight="1" x14ac:dyDescent="0.2">
      <c r="A32" s="710">
        <v>24</v>
      </c>
      <c r="B32" s="758" t="s">
        <v>339</v>
      </c>
      <c r="C32" s="758" t="s">
        <v>302</v>
      </c>
      <c r="D32" s="779">
        <v>5</v>
      </c>
      <c r="E32" s="776"/>
      <c r="F32" s="779">
        <v>500</v>
      </c>
      <c r="G32" s="760">
        <v>7223177</v>
      </c>
      <c r="H32" s="714">
        <v>85579</v>
      </c>
      <c r="I32" s="712">
        <v>24</v>
      </c>
    </row>
    <row r="33" spans="1:9" ht="19.899999999999999" customHeight="1" x14ac:dyDescent="0.2">
      <c r="A33" s="710">
        <v>25</v>
      </c>
      <c r="B33" s="778" t="s">
        <v>338</v>
      </c>
      <c r="C33" s="778" t="s">
        <v>315</v>
      </c>
      <c r="D33" s="779">
        <v>5</v>
      </c>
      <c r="E33" s="776"/>
      <c r="F33" s="779">
        <v>500</v>
      </c>
      <c r="G33" s="760">
        <v>7223064</v>
      </c>
      <c r="H33" s="714">
        <v>9520246</v>
      </c>
      <c r="I33" s="712">
        <v>25</v>
      </c>
    </row>
    <row r="34" spans="1:9" ht="19.899999999999999" customHeight="1" x14ac:dyDescent="0.2">
      <c r="A34" s="710">
        <v>26</v>
      </c>
      <c r="B34" s="778" t="s">
        <v>335</v>
      </c>
      <c r="C34" s="778" t="s">
        <v>306</v>
      </c>
      <c r="D34" s="779">
        <v>5</v>
      </c>
      <c r="E34" s="776"/>
      <c r="F34" s="779">
        <v>500</v>
      </c>
      <c r="G34" s="760">
        <v>7223086</v>
      </c>
      <c r="H34" s="714">
        <v>4428135</v>
      </c>
      <c r="I34" s="712">
        <v>26</v>
      </c>
    </row>
    <row r="35" spans="1:9" ht="19.899999999999999" customHeight="1" x14ac:dyDescent="0.2">
      <c r="A35" s="710">
        <v>27</v>
      </c>
      <c r="B35" s="778" t="s">
        <v>336</v>
      </c>
      <c r="C35" s="778" t="s">
        <v>306</v>
      </c>
      <c r="D35" s="779">
        <v>5</v>
      </c>
      <c r="E35" s="776"/>
      <c r="F35" s="779">
        <v>500</v>
      </c>
      <c r="G35" s="760">
        <v>7223289</v>
      </c>
      <c r="H35" s="714">
        <v>4424477</v>
      </c>
      <c r="I35" s="712">
        <v>27</v>
      </c>
    </row>
    <row r="36" spans="1:9" ht="19.899999999999999" customHeight="1" x14ac:dyDescent="0.2">
      <c r="A36" s="710">
        <v>28</v>
      </c>
      <c r="B36" s="778" t="s">
        <v>337</v>
      </c>
      <c r="C36" s="778" t="s">
        <v>306</v>
      </c>
      <c r="D36" s="779">
        <v>5</v>
      </c>
      <c r="E36" s="776"/>
      <c r="F36" s="779">
        <v>500</v>
      </c>
      <c r="G36" s="760">
        <v>7223599</v>
      </c>
      <c r="H36" s="714">
        <v>4434381</v>
      </c>
      <c r="I36" s="712">
        <v>28</v>
      </c>
    </row>
    <row r="37" spans="1:9" ht="19.899999999999999" customHeight="1" x14ac:dyDescent="0.2">
      <c r="A37" s="710">
        <v>29</v>
      </c>
      <c r="B37" s="758"/>
      <c r="C37" s="758"/>
      <c r="D37" s="779"/>
      <c r="E37" s="776"/>
      <c r="F37" s="779"/>
      <c r="G37" s="760"/>
      <c r="H37" s="714">
        <v>4919234</v>
      </c>
      <c r="I37" s="712">
        <v>29</v>
      </c>
    </row>
    <row r="38" spans="1:9" ht="19.899999999999999" customHeight="1" x14ac:dyDescent="0.2">
      <c r="A38" s="710">
        <v>30</v>
      </c>
      <c r="B38" s="758"/>
      <c r="C38" s="758"/>
      <c r="D38" s="759"/>
      <c r="E38" s="776"/>
      <c r="F38" s="759"/>
      <c r="G38" s="760"/>
      <c r="H38" s="714">
        <v>7278</v>
      </c>
      <c r="I38" s="712">
        <v>30</v>
      </c>
    </row>
    <row r="39" spans="1:9" ht="19.899999999999999" customHeight="1" x14ac:dyDescent="0.2">
      <c r="A39" s="710">
        <v>31</v>
      </c>
      <c r="B39" s="758"/>
      <c r="C39" s="758"/>
      <c r="D39" s="759"/>
      <c r="E39" s="776"/>
      <c r="F39" s="759"/>
      <c r="G39" s="760"/>
      <c r="H39" s="714">
        <v>8511056</v>
      </c>
      <c r="I39" s="712">
        <v>31</v>
      </c>
    </row>
    <row r="40" spans="1:9" ht="19.899999999999999" customHeight="1" x14ac:dyDescent="0.2">
      <c r="A40" s="710">
        <v>32</v>
      </c>
      <c r="B40" s="758"/>
      <c r="C40" s="758"/>
      <c r="D40" s="759"/>
      <c r="E40" s="776"/>
      <c r="F40" s="759"/>
      <c r="G40" s="760"/>
      <c r="H40" s="714">
        <v>725637</v>
      </c>
      <c r="I40" s="712">
        <v>32</v>
      </c>
    </row>
    <row r="41" spans="1:9" hidden="1" outlineLevel="1" x14ac:dyDescent="0.2">
      <c r="A41" s="716">
        <v>33</v>
      </c>
      <c r="B41" s="717"/>
      <c r="C41" s="717"/>
      <c r="D41" s="718"/>
      <c r="E41" s="718"/>
      <c r="F41" s="718"/>
      <c r="G41" s="719"/>
      <c r="H41" s="720"/>
      <c r="I41" s="712">
        <v>33</v>
      </c>
    </row>
    <row r="42" spans="1:9" hidden="1" outlineLevel="1" x14ac:dyDescent="0.2">
      <c r="A42" s="721">
        <v>34</v>
      </c>
      <c r="B42" s="722"/>
      <c r="C42" s="722"/>
      <c r="D42" s="723"/>
      <c r="E42" s="723"/>
      <c r="F42" s="723"/>
      <c r="G42" s="724"/>
      <c r="H42" s="720"/>
      <c r="I42" s="712">
        <v>34</v>
      </c>
    </row>
    <row r="43" spans="1:9" hidden="1" outlineLevel="1" x14ac:dyDescent="0.2">
      <c r="A43" s="721">
        <v>35</v>
      </c>
      <c r="B43" s="722"/>
      <c r="C43" s="722"/>
      <c r="D43" s="723"/>
      <c r="E43" s="723"/>
      <c r="F43" s="723"/>
      <c r="G43" s="724"/>
      <c r="H43" s="720"/>
      <c r="I43" s="712">
        <v>35</v>
      </c>
    </row>
    <row r="44" spans="1:9" hidden="1" outlineLevel="1" x14ac:dyDescent="0.2">
      <c r="A44" s="721">
        <v>36</v>
      </c>
      <c r="B44" s="722"/>
      <c r="C44" s="722"/>
      <c r="D44" s="723"/>
      <c r="E44" s="723"/>
      <c r="F44" s="723"/>
      <c r="G44" s="724"/>
      <c r="H44" s="720"/>
      <c r="I44" s="712">
        <v>36</v>
      </c>
    </row>
    <row r="45" spans="1:9" hidden="1" outlineLevel="1" x14ac:dyDescent="0.2">
      <c r="A45" s="716">
        <v>37</v>
      </c>
      <c r="B45" s="722"/>
      <c r="C45" s="722"/>
      <c r="D45" s="723"/>
      <c r="E45" s="723"/>
      <c r="F45" s="723"/>
      <c r="G45" s="724"/>
      <c r="H45" s="720"/>
      <c r="I45" s="712">
        <v>37</v>
      </c>
    </row>
    <row r="46" spans="1:9" hidden="1" outlineLevel="1" x14ac:dyDescent="0.2">
      <c r="A46" s="721">
        <v>38</v>
      </c>
      <c r="B46" s="722"/>
      <c r="C46" s="722"/>
      <c r="D46" s="723"/>
      <c r="E46" s="723"/>
      <c r="F46" s="723"/>
      <c r="G46" s="724"/>
      <c r="H46" s="720"/>
      <c r="I46" s="712">
        <v>38</v>
      </c>
    </row>
    <row r="47" spans="1:9" hidden="1" outlineLevel="1" x14ac:dyDescent="0.2">
      <c r="A47" s="721">
        <v>39</v>
      </c>
      <c r="B47" s="722"/>
      <c r="C47" s="722"/>
      <c r="D47" s="723"/>
      <c r="E47" s="723"/>
      <c r="F47" s="723"/>
      <c r="G47" s="724"/>
      <c r="H47" s="720"/>
      <c r="I47" s="712">
        <v>39</v>
      </c>
    </row>
    <row r="48" spans="1:9" hidden="1" outlineLevel="1" x14ac:dyDescent="0.2">
      <c r="A48" s="721">
        <v>40</v>
      </c>
      <c r="B48" s="722"/>
      <c r="C48" s="722"/>
      <c r="D48" s="723"/>
      <c r="E48" s="723"/>
      <c r="F48" s="723"/>
      <c r="G48" s="724"/>
      <c r="H48" s="720"/>
      <c r="I48" s="712">
        <v>40</v>
      </c>
    </row>
    <row r="49" spans="1:9" hidden="1" outlineLevel="1" x14ac:dyDescent="0.2">
      <c r="A49" s="716">
        <v>41</v>
      </c>
      <c r="B49" s="722"/>
      <c r="C49" s="722"/>
      <c r="D49" s="723"/>
      <c r="E49" s="723"/>
      <c r="F49" s="723"/>
      <c r="G49" s="724"/>
      <c r="H49" s="720"/>
      <c r="I49" s="712">
        <v>41</v>
      </c>
    </row>
    <row r="50" spans="1:9" hidden="1" outlineLevel="1" x14ac:dyDescent="0.2">
      <c r="A50" s="721">
        <v>42</v>
      </c>
      <c r="B50" s="722"/>
      <c r="C50" s="722"/>
      <c r="D50" s="723"/>
      <c r="E50" s="723"/>
      <c r="F50" s="723"/>
      <c r="G50" s="724"/>
      <c r="H50" s="720"/>
      <c r="I50" s="712">
        <v>42</v>
      </c>
    </row>
    <row r="51" spans="1:9" hidden="1" outlineLevel="1" x14ac:dyDescent="0.2">
      <c r="A51" s="721">
        <v>43</v>
      </c>
      <c r="B51" s="722"/>
      <c r="C51" s="722"/>
      <c r="D51" s="723"/>
      <c r="E51" s="723"/>
      <c r="F51" s="723"/>
      <c r="G51" s="724"/>
      <c r="H51" s="720"/>
      <c r="I51" s="712">
        <v>43</v>
      </c>
    </row>
    <row r="52" spans="1:9" hidden="1" outlineLevel="1" x14ac:dyDescent="0.2">
      <c r="A52" s="721">
        <v>44</v>
      </c>
      <c r="B52" s="722"/>
      <c r="C52" s="722"/>
      <c r="D52" s="723"/>
      <c r="E52" s="723"/>
      <c r="F52" s="723"/>
      <c r="G52" s="724"/>
      <c r="H52" s="720"/>
      <c r="I52" s="712">
        <v>44</v>
      </c>
    </row>
    <row r="53" spans="1:9" hidden="1" outlineLevel="1" x14ac:dyDescent="0.2">
      <c r="A53" s="716">
        <v>45</v>
      </c>
      <c r="B53" s="722"/>
      <c r="C53" s="722"/>
      <c r="D53" s="723"/>
      <c r="E53" s="723"/>
      <c r="F53" s="723"/>
      <c r="G53" s="724"/>
      <c r="H53" s="720"/>
      <c r="I53" s="712">
        <v>45</v>
      </c>
    </row>
    <row r="54" spans="1:9" hidden="1" outlineLevel="1" x14ac:dyDescent="0.2">
      <c r="A54" s="721">
        <v>46</v>
      </c>
      <c r="B54" s="722"/>
      <c r="C54" s="722"/>
      <c r="D54" s="723"/>
      <c r="E54" s="723"/>
      <c r="F54" s="723"/>
      <c r="G54" s="724"/>
      <c r="H54" s="720"/>
      <c r="I54" s="712">
        <v>46</v>
      </c>
    </row>
    <row r="55" spans="1:9" hidden="1" outlineLevel="1" x14ac:dyDescent="0.2">
      <c r="A55" s="721">
        <v>47</v>
      </c>
      <c r="B55" s="722"/>
      <c r="C55" s="722"/>
      <c r="D55" s="723"/>
      <c r="E55" s="723"/>
      <c r="F55" s="723"/>
      <c r="G55" s="724"/>
      <c r="H55" s="720"/>
      <c r="I55" s="712">
        <v>47</v>
      </c>
    </row>
    <row r="56" spans="1:9" hidden="1" outlineLevel="1" x14ac:dyDescent="0.2">
      <c r="A56" s="721">
        <v>48</v>
      </c>
      <c r="B56" s="722"/>
      <c r="C56" s="722"/>
      <c r="D56" s="723"/>
      <c r="E56" s="723"/>
      <c r="F56" s="723"/>
      <c r="G56" s="724"/>
      <c r="H56" s="720"/>
      <c r="I56" s="712">
        <v>48</v>
      </c>
    </row>
    <row r="57" spans="1:9" hidden="1" outlineLevel="1" x14ac:dyDescent="0.2">
      <c r="A57" s="721">
        <v>49</v>
      </c>
      <c r="B57" s="722"/>
      <c r="C57" s="722"/>
      <c r="D57" s="723"/>
      <c r="E57" s="723"/>
      <c r="F57" s="723"/>
      <c r="G57" s="724"/>
      <c r="H57" s="720"/>
      <c r="I57" s="712">
        <v>49</v>
      </c>
    </row>
    <row r="58" spans="1:9" hidden="1" outlineLevel="1" x14ac:dyDescent="0.2">
      <c r="A58" s="721">
        <v>50</v>
      </c>
      <c r="B58" s="722"/>
      <c r="C58" s="722"/>
      <c r="D58" s="723"/>
      <c r="E58" s="723"/>
      <c r="F58" s="723"/>
      <c r="G58" s="724"/>
      <c r="H58" s="720"/>
      <c r="I58" s="712">
        <v>50</v>
      </c>
    </row>
    <row r="59" spans="1:9" hidden="1" outlineLevel="1" x14ac:dyDescent="0.2">
      <c r="A59" s="721">
        <v>51</v>
      </c>
      <c r="B59" s="722"/>
      <c r="C59" s="722"/>
      <c r="D59" s="723"/>
      <c r="E59" s="723"/>
      <c r="F59" s="723"/>
      <c r="G59" s="724"/>
      <c r="H59" s="720"/>
      <c r="I59" s="712">
        <v>51</v>
      </c>
    </row>
    <row r="60" spans="1:9" hidden="1" outlineLevel="1" x14ac:dyDescent="0.2">
      <c r="A60" s="716">
        <v>52</v>
      </c>
      <c r="B60" s="722"/>
      <c r="C60" s="722"/>
      <c r="D60" s="723"/>
      <c r="E60" s="723"/>
      <c r="F60" s="723"/>
      <c r="G60" s="724"/>
      <c r="H60" s="720"/>
      <c r="I60" s="712">
        <v>52</v>
      </c>
    </row>
    <row r="61" spans="1:9" hidden="1" outlineLevel="1" x14ac:dyDescent="0.2">
      <c r="A61" s="721">
        <v>53</v>
      </c>
      <c r="B61" s="722"/>
      <c r="C61" s="722"/>
      <c r="D61" s="723"/>
      <c r="E61" s="723"/>
      <c r="F61" s="723"/>
      <c r="G61" s="724"/>
      <c r="H61" s="720"/>
      <c r="I61" s="712">
        <v>53</v>
      </c>
    </row>
    <row r="62" spans="1:9" hidden="1" outlineLevel="1" x14ac:dyDescent="0.2">
      <c r="A62" s="721">
        <v>54</v>
      </c>
      <c r="B62" s="722"/>
      <c r="C62" s="722"/>
      <c r="D62" s="723"/>
      <c r="E62" s="723"/>
      <c r="F62" s="723"/>
      <c r="G62" s="724"/>
      <c r="H62" s="720"/>
      <c r="I62" s="712">
        <v>54</v>
      </c>
    </row>
    <row r="63" spans="1:9" hidden="1" outlineLevel="1" x14ac:dyDescent="0.2">
      <c r="A63" s="721">
        <v>55</v>
      </c>
      <c r="B63" s="722"/>
      <c r="C63" s="722"/>
      <c r="D63" s="723"/>
      <c r="E63" s="723"/>
      <c r="F63" s="723"/>
      <c r="G63" s="724"/>
      <c r="H63" s="720"/>
      <c r="I63" s="712">
        <v>55</v>
      </c>
    </row>
    <row r="64" spans="1:9" hidden="1" outlineLevel="1" x14ac:dyDescent="0.2">
      <c r="A64" s="716">
        <v>56</v>
      </c>
      <c r="B64" s="722"/>
      <c r="C64" s="722"/>
      <c r="D64" s="723"/>
      <c r="E64" s="723"/>
      <c r="F64" s="723"/>
      <c r="G64" s="724"/>
      <c r="H64" s="720"/>
      <c r="I64" s="712">
        <v>56</v>
      </c>
    </row>
    <row r="65" spans="1:9" hidden="1" outlineLevel="1" x14ac:dyDescent="0.2">
      <c r="A65" s="721">
        <v>57</v>
      </c>
      <c r="B65" s="722"/>
      <c r="C65" s="722"/>
      <c r="D65" s="723"/>
      <c r="E65" s="723"/>
      <c r="F65" s="723"/>
      <c r="G65" s="724"/>
      <c r="H65" s="720"/>
      <c r="I65" s="712">
        <v>57</v>
      </c>
    </row>
    <row r="66" spans="1:9" hidden="1" outlineLevel="1" x14ac:dyDescent="0.2">
      <c r="A66" s="721">
        <v>58</v>
      </c>
      <c r="B66" s="722"/>
      <c r="C66" s="722"/>
      <c r="D66" s="723"/>
      <c r="E66" s="723"/>
      <c r="F66" s="723"/>
      <c r="G66" s="724"/>
      <c r="H66" s="720"/>
      <c r="I66" s="712">
        <v>58</v>
      </c>
    </row>
    <row r="67" spans="1:9" hidden="1" outlineLevel="1" x14ac:dyDescent="0.2">
      <c r="A67" s="721">
        <v>59</v>
      </c>
      <c r="B67" s="722"/>
      <c r="C67" s="722"/>
      <c r="D67" s="723"/>
      <c r="E67" s="723"/>
      <c r="F67" s="723"/>
      <c r="G67" s="724"/>
      <c r="H67" s="720"/>
      <c r="I67" s="712">
        <v>59</v>
      </c>
    </row>
    <row r="68" spans="1:9" hidden="1" outlineLevel="1" x14ac:dyDescent="0.2">
      <c r="A68" s="716">
        <v>60</v>
      </c>
      <c r="B68" s="722"/>
      <c r="C68" s="722"/>
      <c r="D68" s="723"/>
      <c r="E68" s="723"/>
      <c r="F68" s="723"/>
      <c r="G68" s="724"/>
      <c r="H68" s="720"/>
      <c r="I68" s="712">
        <v>60</v>
      </c>
    </row>
    <row r="69" spans="1:9" hidden="1" outlineLevel="1" x14ac:dyDescent="0.2">
      <c r="A69" s="721">
        <v>61</v>
      </c>
      <c r="B69" s="722"/>
      <c r="C69" s="722"/>
      <c r="D69" s="723"/>
      <c r="E69" s="723"/>
      <c r="F69" s="723"/>
      <c r="G69" s="724"/>
      <c r="H69" s="720"/>
      <c r="I69" s="712">
        <v>61</v>
      </c>
    </row>
    <row r="70" spans="1:9" hidden="1" outlineLevel="1" x14ac:dyDescent="0.2">
      <c r="A70" s="721">
        <v>62</v>
      </c>
      <c r="B70" s="722"/>
      <c r="C70" s="722"/>
      <c r="D70" s="723"/>
      <c r="E70" s="723"/>
      <c r="F70" s="723"/>
      <c r="G70" s="724"/>
      <c r="H70" s="720"/>
      <c r="I70" s="712">
        <v>62</v>
      </c>
    </row>
    <row r="71" spans="1:9" hidden="1" outlineLevel="1" x14ac:dyDescent="0.2">
      <c r="A71" s="725">
        <v>63</v>
      </c>
      <c r="B71" s="722"/>
      <c r="C71" s="722"/>
      <c r="D71" s="723"/>
      <c r="E71" s="723"/>
      <c r="F71" s="723"/>
      <c r="G71" s="724"/>
      <c r="H71" s="720"/>
      <c r="I71" s="712">
        <v>63</v>
      </c>
    </row>
    <row r="72" spans="1:9" hidden="1" outlineLevel="1" x14ac:dyDescent="0.2">
      <c r="A72" s="716">
        <v>64</v>
      </c>
      <c r="B72" s="722"/>
      <c r="C72" s="722"/>
      <c r="D72" s="723"/>
      <c r="E72" s="723"/>
      <c r="F72" s="723"/>
      <c r="G72" s="724"/>
      <c r="H72" s="720"/>
      <c r="I72" s="712">
        <v>64</v>
      </c>
    </row>
    <row r="73" spans="1:9" hidden="1" outlineLevel="1" x14ac:dyDescent="0.2">
      <c r="A73" s="721">
        <v>65</v>
      </c>
      <c r="B73" s="722"/>
      <c r="C73" s="722"/>
      <c r="D73" s="723"/>
      <c r="E73" s="723"/>
      <c r="F73" s="723"/>
      <c r="G73" s="724"/>
      <c r="H73" s="720"/>
      <c r="I73" s="712">
        <v>65</v>
      </c>
    </row>
    <row r="74" spans="1:9" hidden="1" outlineLevel="1" x14ac:dyDescent="0.2">
      <c r="A74" s="721">
        <v>66</v>
      </c>
      <c r="B74" s="722"/>
      <c r="C74" s="722"/>
      <c r="D74" s="723"/>
      <c r="E74" s="723"/>
      <c r="F74" s="723"/>
      <c r="G74" s="724"/>
      <c r="H74" s="720"/>
      <c r="I74" s="712">
        <v>66</v>
      </c>
    </row>
    <row r="75" spans="1:9" hidden="1" outlineLevel="1" x14ac:dyDescent="0.2">
      <c r="A75" s="721">
        <v>67</v>
      </c>
      <c r="B75" s="722"/>
      <c r="C75" s="722"/>
      <c r="D75" s="723"/>
      <c r="E75" s="723"/>
      <c r="F75" s="723"/>
      <c r="G75" s="724"/>
      <c r="H75" s="720"/>
      <c r="I75" s="712">
        <v>67</v>
      </c>
    </row>
    <row r="76" spans="1:9" hidden="1" outlineLevel="1" x14ac:dyDescent="0.2">
      <c r="A76" s="716">
        <v>68</v>
      </c>
      <c r="B76" s="722"/>
      <c r="C76" s="722"/>
      <c r="D76" s="723"/>
      <c r="E76" s="723"/>
      <c r="F76" s="723"/>
      <c r="G76" s="724"/>
      <c r="H76" s="720"/>
      <c r="I76" s="712">
        <v>68</v>
      </c>
    </row>
    <row r="77" spans="1:9" hidden="1" outlineLevel="1" x14ac:dyDescent="0.2">
      <c r="A77" s="721">
        <v>69</v>
      </c>
      <c r="B77" s="722"/>
      <c r="C77" s="722"/>
      <c r="D77" s="723"/>
      <c r="E77" s="723"/>
      <c r="F77" s="723"/>
      <c r="G77" s="724"/>
      <c r="H77" s="720"/>
      <c r="I77" s="712">
        <v>69</v>
      </c>
    </row>
    <row r="78" spans="1:9" hidden="1" outlineLevel="1" x14ac:dyDescent="0.2">
      <c r="A78" s="721">
        <v>70</v>
      </c>
      <c r="B78" s="722"/>
      <c r="C78" s="722"/>
      <c r="D78" s="723"/>
      <c r="E78" s="723"/>
      <c r="F78" s="723"/>
      <c r="G78" s="724"/>
      <c r="H78" s="720"/>
      <c r="I78" s="712">
        <v>70</v>
      </c>
    </row>
    <row r="79" spans="1:9" hidden="1" outlineLevel="1" x14ac:dyDescent="0.2">
      <c r="A79" s="721">
        <v>71</v>
      </c>
      <c r="B79" s="722"/>
      <c r="C79" s="722"/>
      <c r="D79" s="723"/>
      <c r="E79" s="723"/>
      <c r="F79" s="723"/>
      <c r="G79" s="724"/>
      <c r="H79" s="720"/>
      <c r="I79" s="712">
        <v>71</v>
      </c>
    </row>
    <row r="80" spans="1:9" hidden="1" outlineLevel="1" x14ac:dyDescent="0.2">
      <c r="A80" s="716">
        <v>72</v>
      </c>
      <c r="B80" s="722"/>
      <c r="C80" s="722"/>
      <c r="D80" s="723"/>
      <c r="E80" s="723"/>
      <c r="F80" s="723"/>
      <c r="G80" s="724"/>
      <c r="H80" s="720"/>
      <c r="I80" s="712">
        <v>72</v>
      </c>
    </row>
    <row r="81" spans="1:9" hidden="1" outlineLevel="1" x14ac:dyDescent="0.2">
      <c r="A81" s="721">
        <v>73</v>
      </c>
      <c r="B81" s="722"/>
      <c r="C81" s="722"/>
      <c r="D81" s="723"/>
      <c r="E81" s="723"/>
      <c r="F81" s="723"/>
      <c r="G81" s="724"/>
      <c r="H81" s="720"/>
      <c r="I81" s="712">
        <v>73</v>
      </c>
    </row>
    <row r="82" spans="1:9" hidden="1" outlineLevel="1" x14ac:dyDescent="0.2">
      <c r="A82" s="721">
        <v>74</v>
      </c>
      <c r="B82" s="722"/>
      <c r="C82" s="722"/>
      <c r="D82" s="723"/>
      <c r="E82" s="723"/>
      <c r="F82" s="723"/>
      <c r="G82" s="724"/>
      <c r="H82" s="720"/>
      <c r="I82" s="712">
        <v>74</v>
      </c>
    </row>
    <row r="83" spans="1:9" hidden="1" outlineLevel="1" x14ac:dyDescent="0.2">
      <c r="A83" s="721">
        <v>75</v>
      </c>
      <c r="B83" s="722"/>
      <c r="C83" s="722"/>
      <c r="D83" s="723"/>
      <c r="E83" s="723"/>
      <c r="F83" s="723"/>
      <c r="G83" s="724"/>
      <c r="H83" s="720"/>
      <c r="I83" s="712">
        <v>75</v>
      </c>
    </row>
    <row r="84" spans="1:9" hidden="1" outlineLevel="1" x14ac:dyDescent="0.2">
      <c r="A84" s="716">
        <v>76</v>
      </c>
      <c r="B84" s="722"/>
      <c r="C84" s="722"/>
      <c r="D84" s="723"/>
      <c r="E84" s="723"/>
      <c r="F84" s="723"/>
      <c r="G84" s="724"/>
      <c r="H84" s="720"/>
      <c r="I84" s="712">
        <v>76</v>
      </c>
    </row>
    <row r="85" spans="1:9" hidden="1" outlineLevel="1" x14ac:dyDescent="0.2">
      <c r="A85" s="721">
        <v>77</v>
      </c>
      <c r="B85" s="722"/>
      <c r="C85" s="722"/>
      <c r="D85" s="723"/>
      <c r="E85" s="723"/>
      <c r="F85" s="723"/>
      <c r="G85" s="724"/>
      <c r="H85" s="720"/>
      <c r="I85" s="712">
        <v>77</v>
      </c>
    </row>
    <row r="86" spans="1:9" hidden="1" outlineLevel="1" x14ac:dyDescent="0.2">
      <c r="A86" s="721">
        <v>78</v>
      </c>
      <c r="B86" s="722"/>
      <c r="C86" s="722"/>
      <c r="D86" s="723"/>
      <c r="E86" s="723"/>
      <c r="F86" s="723"/>
      <c r="G86" s="724"/>
      <c r="H86" s="720"/>
      <c r="I86" s="712">
        <v>78</v>
      </c>
    </row>
    <row r="87" spans="1:9" hidden="1" outlineLevel="1" x14ac:dyDescent="0.2">
      <c r="A87" s="721">
        <v>79</v>
      </c>
      <c r="B87" s="722"/>
      <c r="C87" s="722"/>
      <c r="D87" s="723"/>
      <c r="E87" s="723"/>
      <c r="F87" s="723"/>
      <c r="G87" s="724"/>
      <c r="H87" s="720"/>
      <c r="I87" s="712">
        <v>79</v>
      </c>
    </row>
    <row r="88" spans="1:9" hidden="1" outlineLevel="1" x14ac:dyDescent="0.2">
      <c r="A88" s="716">
        <v>80</v>
      </c>
      <c r="B88" s="722"/>
      <c r="C88" s="722"/>
      <c r="D88" s="723"/>
      <c r="E88" s="723"/>
      <c r="F88" s="723"/>
      <c r="G88" s="724"/>
      <c r="H88" s="720"/>
      <c r="I88" s="712">
        <v>80</v>
      </c>
    </row>
    <row r="89" spans="1:9" hidden="1" outlineLevel="1" x14ac:dyDescent="0.2">
      <c r="A89" s="721">
        <v>81</v>
      </c>
      <c r="B89" s="722"/>
      <c r="C89" s="722"/>
      <c r="D89" s="723"/>
      <c r="E89" s="723"/>
      <c r="F89" s="723"/>
      <c r="G89" s="724"/>
      <c r="H89" s="720"/>
      <c r="I89" s="712">
        <v>81</v>
      </c>
    </row>
    <row r="90" spans="1:9" hidden="1" outlineLevel="1" x14ac:dyDescent="0.2">
      <c r="A90" s="721">
        <v>82</v>
      </c>
      <c r="B90" s="722"/>
      <c r="C90" s="722"/>
      <c r="D90" s="723"/>
      <c r="E90" s="723"/>
      <c r="F90" s="723"/>
      <c r="G90" s="724"/>
      <c r="H90" s="720"/>
      <c r="I90" s="712">
        <v>82</v>
      </c>
    </row>
    <row r="91" spans="1:9" hidden="1" outlineLevel="1" x14ac:dyDescent="0.2">
      <c r="A91" s="721">
        <v>83</v>
      </c>
      <c r="B91" s="722"/>
      <c r="C91" s="722"/>
      <c r="D91" s="723"/>
      <c r="E91" s="723"/>
      <c r="F91" s="723"/>
      <c r="G91" s="724"/>
      <c r="H91" s="720"/>
      <c r="I91" s="712">
        <v>83</v>
      </c>
    </row>
    <row r="92" spans="1:9" hidden="1" outlineLevel="1" x14ac:dyDescent="0.2">
      <c r="A92" s="716">
        <v>84</v>
      </c>
      <c r="B92" s="722"/>
      <c r="C92" s="722"/>
      <c r="D92" s="723"/>
      <c r="E92" s="723"/>
      <c r="F92" s="723"/>
      <c r="G92" s="724"/>
      <c r="H92" s="720"/>
      <c r="I92" s="712">
        <v>84</v>
      </c>
    </row>
    <row r="93" spans="1:9" hidden="1" outlineLevel="1" x14ac:dyDescent="0.2">
      <c r="A93" s="721">
        <v>85</v>
      </c>
      <c r="B93" s="722"/>
      <c r="C93" s="722"/>
      <c r="D93" s="723"/>
      <c r="E93" s="723"/>
      <c r="F93" s="723"/>
      <c r="G93" s="724"/>
      <c r="H93" s="720"/>
      <c r="I93" s="712">
        <v>85</v>
      </c>
    </row>
    <row r="94" spans="1:9" hidden="1" outlineLevel="1" x14ac:dyDescent="0.2">
      <c r="A94" s="721">
        <v>86</v>
      </c>
      <c r="B94" s="722"/>
      <c r="C94" s="722"/>
      <c r="D94" s="723"/>
      <c r="E94" s="723"/>
      <c r="F94" s="723"/>
      <c r="G94" s="724"/>
      <c r="H94" s="720"/>
      <c r="I94" s="712">
        <v>86</v>
      </c>
    </row>
    <row r="95" spans="1:9" hidden="1" outlineLevel="1" x14ac:dyDescent="0.2">
      <c r="A95" s="721">
        <v>87</v>
      </c>
      <c r="B95" s="722"/>
      <c r="C95" s="722"/>
      <c r="D95" s="723"/>
      <c r="E95" s="723"/>
      <c r="F95" s="723"/>
      <c r="G95" s="724"/>
      <c r="H95" s="720"/>
      <c r="I95" s="712">
        <v>87</v>
      </c>
    </row>
    <row r="96" spans="1:9" hidden="1" outlineLevel="1" x14ac:dyDescent="0.2">
      <c r="A96" s="716">
        <v>88</v>
      </c>
      <c r="B96" s="722"/>
      <c r="C96" s="722"/>
      <c r="D96" s="723"/>
      <c r="E96" s="723"/>
      <c r="F96" s="723"/>
      <c r="G96" s="724"/>
      <c r="H96" s="720"/>
      <c r="I96" s="712">
        <v>88</v>
      </c>
    </row>
    <row r="97" spans="1:9" hidden="1" outlineLevel="1" x14ac:dyDescent="0.2">
      <c r="A97" s="721">
        <v>89</v>
      </c>
      <c r="B97" s="722"/>
      <c r="C97" s="722"/>
      <c r="D97" s="723"/>
      <c r="E97" s="723"/>
      <c r="F97" s="723"/>
      <c r="G97" s="724"/>
      <c r="H97" s="720"/>
      <c r="I97" s="712">
        <v>89</v>
      </c>
    </row>
    <row r="98" spans="1:9" hidden="1" outlineLevel="1" x14ac:dyDescent="0.2">
      <c r="A98" s="721">
        <v>90</v>
      </c>
      <c r="B98" s="722"/>
      <c r="C98" s="722"/>
      <c r="D98" s="723"/>
      <c r="E98" s="723"/>
      <c r="F98" s="723"/>
      <c r="G98" s="724"/>
      <c r="H98" s="720"/>
      <c r="I98" s="712">
        <v>90</v>
      </c>
    </row>
    <row r="99" spans="1:9" hidden="1" outlineLevel="1" x14ac:dyDescent="0.2">
      <c r="A99" s="721">
        <v>91</v>
      </c>
      <c r="B99" s="722"/>
      <c r="C99" s="722"/>
      <c r="D99" s="723"/>
      <c r="E99" s="723"/>
      <c r="F99" s="723"/>
      <c r="G99" s="724"/>
      <c r="H99" s="720"/>
      <c r="I99" s="712">
        <v>91</v>
      </c>
    </row>
    <row r="100" spans="1:9" hidden="1" outlineLevel="1" x14ac:dyDescent="0.2">
      <c r="A100" s="721">
        <v>92</v>
      </c>
      <c r="B100" s="717"/>
      <c r="C100" s="717"/>
      <c r="D100" s="718"/>
      <c r="E100" s="723"/>
      <c r="F100" s="723"/>
      <c r="G100" s="719"/>
      <c r="H100" s="720"/>
      <c r="I100" s="712">
        <v>92</v>
      </c>
    </row>
    <row r="101" spans="1:9" hidden="1" outlineLevel="1" x14ac:dyDescent="0.2">
      <c r="A101" s="721">
        <v>93</v>
      </c>
      <c r="B101" s="722"/>
      <c r="C101" s="722"/>
      <c r="D101" s="723"/>
      <c r="E101" s="723"/>
      <c r="F101" s="723"/>
      <c r="G101" s="724"/>
      <c r="H101" s="720"/>
      <c r="I101" s="712">
        <v>93</v>
      </c>
    </row>
    <row r="102" spans="1:9" hidden="1" outlineLevel="1" x14ac:dyDescent="0.2">
      <c r="A102" s="721">
        <v>94</v>
      </c>
      <c r="B102" s="722"/>
      <c r="C102" s="722"/>
      <c r="D102" s="723"/>
      <c r="E102" s="723"/>
      <c r="F102" s="723"/>
      <c r="G102" s="724"/>
      <c r="H102" s="720"/>
      <c r="I102" s="712">
        <v>94</v>
      </c>
    </row>
    <row r="103" spans="1:9" hidden="1" outlineLevel="1" x14ac:dyDescent="0.2">
      <c r="A103" s="716">
        <v>95</v>
      </c>
      <c r="B103" s="717"/>
      <c r="C103" s="717"/>
      <c r="D103" s="718"/>
      <c r="E103" s="723"/>
      <c r="F103" s="723"/>
      <c r="G103" s="719"/>
      <c r="H103" s="720"/>
      <c r="I103" s="712">
        <v>95</v>
      </c>
    </row>
    <row r="104" spans="1:9" hidden="1" outlineLevel="1" x14ac:dyDescent="0.2">
      <c r="A104" s="721">
        <v>96</v>
      </c>
      <c r="B104" s="722"/>
      <c r="C104" s="722"/>
      <c r="D104" s="723"/>
      <c r="E104" s="723"/>
      <c r="F104" s="723"/>
      <c r="G104" s="724"/>
      <c r="H104" s="720"/>
      <c r="I104" s="712">
        <v>96</v>
      </c>
    </row>
    <row r="105" spans="1:9" hidden="1" outlineLevel="1" x14ac:dyDescent="0.2">
      <c r="A105" s="721">
        <v>97</v>
      </c>
      <c r="B105" s="722"/>
      <c r="C105" s="722"/>
      <c r="D105" s="723"/>
      <c r="E105" s="723"/>
      <c r="F105" s="723"/>
      <c r="G105" s="724"/>
      <c r="H105" s="720"/>
      <c r="I105" s="712">
        <v>97</v>
      </c>
    </row>
    <row r="106" spans="1:9" hidden="1" outlineLevel="1" x14ac:dyDescent="0.2">
      <c r="A106" s="721">
        <v>98</v>
      </c>
      <c r="B106" s="717"/>
      <c r="C106" s="717"/>
      <c r="D106" s="718"/>
      <c r="E106" s="723"/>
      <c r="F106" s="723"/>
      <c r="G106" s="719"/>
      <c r="H106" s="720"/>
      <c r="I106" s="712">
        <v>98</v>
      </c>
    </row>
    <row r="107" spans="1:9" hidden="1" outlineLevel="1" x14ac:dyDescent="0.2">
      <c r="A107" s="716">
        <v>99</v>
      </c>
      <c r="B107" s="722"/>
      <c r="C107" s="722"/>
      <c r="D107" s="723"/>
      <c r="E107" s="723"/>
      <c r="F107" s="723"/>
      <c r="G107" s="724"/>
      <c r="H107" s="720"/>
      <c r="I107" s="712">
        <v>99</v>
      </c>
    </row>
    <row r="108" spans="1:9" hidden="1" outlineLevel="1" x14ac:dyDescent="0.2">
      <c r="A108" s="721">
        <v>100</v>
      </c>
      <c r="B108" s="722"/>
      <c r="C108" s="722"/>
      <c r="D108" s="723"/>
      <c r="E108" s="723"/>
      <c r="F108" s="723"/>
      <c r="G108" s="724"/>
      <c r="H108" s="720"/>
      <c r="I108" s="712">
        <v>100</v>
      </c>
    </row>
    <row r="109" spans="1:9" hidden="1" outlineLevel="1" x14ac:dyDescent="0.2">
      <c r="A109" s="721">
        <v>101</v>
      </c>
      <c r="B109" s="717"/>
      <c r="C109" s="717"/>
      <c r="D109" s="718"/>
      <c r="E109" s="723"/>
      <c r="F109" s="723"/>
      <c r="G109" s="719"/>
      <c r="H109" s="720"/>
      <c r="I109" s="712">
        <v>101</v>
      </c>
    </row>
    <row r="110" spans="1:9" hidden="1" outlineLevel="1" x14ac:dyDescent="0.2">
      <c r="A110" s="721">
        <v>102</v>
      </c>
      <c r="B110" s="722"/>
      <c r="C110" s="722"/>
      <c r="D110" s="723"/>
      <c r="E110" s="723"/>
      <c r="F110" s="723"/>
      <c r="G110" s="724"/>
      <c r="H110" s="720"/>
      <c r="I110" s="712">
        <v>102</v>
      </c>
    </row>
    <row r="111" spans="1:9" hidden="1" outlineLevel="1" x14ac:dyDescent="0.2">
      <c r="A111" s="716">
        <v>103</v>
      </c>
      <c r="B111" s="722"/>
      <c r="C111" s="722"/>
      <c r="D111" s="723"/>
      <c r="E111" s="723"/>
      <c r="F111" s="723"/>
      <c r="G111" s="724"/>
      <c r="H111" s="720"/>
      <c r="I111" s="712">
        <v>103</v>
      </c>
    </row>
    <row r="112" spans="1:9" hidden="1" outlineLevel="1" x14ac:dyDescent="0.2">
      <c r="A112" s="721">
        <v>104</v>
      </c>
      <c r="B112" s="717"/>
      <c r="C112" s="717"/>
      <c r="D112" s="718"/>
      <c r="E112" s="723"/>
      <c r="F112" s="723"/>
      <c r="G112" s="719"/>
      <c r="H112" s="720"/>
      <c r="I112" s="712">
        <v>104</v>
      </c>
    </row>
    <row r="113" spans="1:9" hidden="1" outlineLevel="1" x14ac:dyDescent="0.2">
      <c r="A113" s="721">
        <v>105</v>
      </c>
      <c r="B113" s="722"/>
      <c r="C113" s="722"/>
      <c r="D113" s="723"/>
      <c r="E113" s="723"/>
      <c r="F113" s="723"/>
      <c r="G113" s="724"/>
      <c r="H113" s="720"/>
      <c r="I113" s="712">
        <v>105</v>
      </c>
    </row>
    <row r="114" spans="1:9" hidden="1" outlineLevel="1" x14ac:dyDescent="0.2">
      <c r="A114" s="725">
        <v>106</v>
      </c>
      <c r="B114" s="722"/>
      <c r="C114" s="722"/>
      <c r="D114" s="723"/>
      <c r="E114" s="723"/>
      <c r="F114" s="723"/>
      <c r="G114" s="724"/>
      <c r="H114" s="720"/>
      <c r="I114" s="712">
        <v>106</v>
      </c>
    </row>
    <row r="115" spans="1:9" hidden="1" outlineLevel="1" x14ac:dyDescent="0.2">
      <c r="A115" s="716">
        <v>107</v>
      </c>
      <c r="B115" s="717"/>
      <c r="C115" s="717"/>
      <c r="D115" s="718"/>
      <c r="E115" s="723"/>
      <c r="F115" s="723"/>
      <c r="G115" s="719"/>
      <c r="H115" s="720"/>
      <c r="I115" s="712">
        <v>107</v>
      </c>
    </row>
    <row r="116" spans="1:9" hidden="1" outlineLevel="1" x14ac:dyDescent="0.2">
      <c r="A116" s="721">
        <v>108</v>
      </c>
      <c r="B116" s="722"/>
      <c r="C116" s="722"/>
      <c r="D116" s="723"/>
      <c r="E116" s="723"/>
      <c r="F116" s="723"/>
      <c r="G116" s="724"/>
      <c r="H116" s="720"/>
      <c r="I116" s="712">
        <v>108</v>
      </c>
    </row>
    <row r="117" spans="1:9" hidden="1" outlineLevel="1" x14ac:dyDescent="0.2">
      <c r="A117" s="721">
        <v>109</v>
      </c>
      <c r="B117" s="722"/>
      <c r="C117" s="722"/>
      <c r="D117" s="723"/>
      <c r="E117" s="723"/>
      <c r="F117" s="723"/>
      <c r="G117" s="724"/>
      <c r="H117" s="720"/>
      <c r="I117" s="712">
        <v>109</v>
      </c>
    </row>
    <row r="118" spans="1:9" hidden="1" outlineLevel="1" x14ac:dyDescent="0.2">
      <c r="A118" s="721">
        <v>110</v>
      </c>
      <c r="B118" s="717"/>
      <c r="C118" s="717"/>
      <c r="D118" s="718"/>
      <c r="E118" s="723"/>
      <c r="F118" s="723"/>
      <c r="G118" s="719"/>
      <c r="H118" s="720"/>
      <c r="I118" s="712">
        <v>110</v>
      </c>
    </row>
    <row r="119" spans="1:9" hidden="1" outlineLevel="1" x14ac:dyDescent="0.2">
      <c r="A119" s="716">
        <v>111</v>
      </c>
      <c r="B119" s="722"/>
      <c r="C119" s="722"/>
      <c r="D119" s="723"/>
      <c r="E119" s="723"/>
      <c r="F119" s="723"/>
      <c r="G119" s="724"/>
      <c r="H119" s="720"/>
      <c r="I119" s="712">
        <v>111</v>
      </c>
    </row>
    <row r="120" spans="1:9" hidden="1" outlineLevel="1" x14ac:dyDescent="0.2">
      <c r="A120" s="721">
        <v>112</v>
      </c>
      <c r="B120" s="722"/>
      <c r="C120" s="722"/>
      <c r="D120" s="723"/>
      <c r="E120" s="723"/>
      <c r="F120" s="723"/>
      <c r="G120" s="724"/>
      <c r="H120" s="720"/>
      <c r="I120" s="712">
        <v>112</v>
      </c>
    </row>
    <row r="121" spans="1:9" hidden="1" outlineLevel="1" x14ac:dyDescent="0.2">
      <c r="A121" s="721">
        <v>113</v>
      </c>
      <c r="B121" s="717"/>
      <c r="C121" s="717"/>
      <c r="D121" s="718"/>
      <c r="E121" s="723"/>
      <c r="F121" s="723"/>
      <c r="G121" s="719"/>
      <c r="H121" s="720"/>
      <c r="I121" s="712">
        <v>113</v>
      </c>
    </row>
    <row r="122" spans="1:9" hidden="1" outlineLevel="1" x14ac:dyDescent="0.2">
      <c r="A122" s="721">
        <v>114</v>
      </c>
      <c r="B122" s="722"/>
      <c r="C122" s="722"/>
      <c r="D122" s="723"/>
      <c r="E122" s="723"/>
      <c r="F122" s="723"/>
      <c r="G122" s="724"/>
      <c r="H122" s="720"/>
      <c r="I122" s="712">
        <v>114</v>
      </c>
    </row>
    <row r="123" spans="1:9" hidden="1" outlineLevel="1" x14ac:dyDescent="0.2">
      <c r="A123" s="716">
        <v>115</v>
      </c>
      <c r="B123" s="722"/>
      <c r="C123" s="722"/>
      <c r="D123" s="723"/>
      <c r="E123" s="723"/>
      <c r="F123" s="723"/>
      <c r="G123" s="724"/>
      <c r="H123" s="720"/>
      <c r="I123" s="712">
        <v>115</v>
      </c>
    </row>
    <row r="124" spans="1:9" hidden="1" outlineLevel="1" x14ac:dyDescent="0.2">
      <c r="A124" s="721">
        <v>116</v>
      </c>
      <c r="B124" s="717"/>
      <c r="C124" s="717"/>
      <c r="D124" s="718"/>
      <c r="E124" s="723"/>
      <c r="F124" s="723"/>
      <c r="G124" s="719"/>
      <c r="H124" s="720"/>
      <c r="I124" s="712">
        <v>116</v>
      </c>
    </row>
    <row r="125" spans="1:9" hidden="1" outlineLevel="1" x14ac:dyDescent="0.2">
      <c r="A125" s="721">
        <v>117</v>
      </c>
      <c r="B125" s="722"/>
      <c r="C125" s="722"/>
      <c r="D125" s="723"/>
      <c r="E125" s="723"/>
      <c r="F125" s="723"/>
      <c r="G125" s="724"/>
      <c r="H125" s="720"/>
      <c r="I125" s="712">
        <v>117</v>
      </c>
    </row>
    <row r="126" spans="1:9" hidden="1" outlineLevel="1" x14ac:dyDescent="0.2">
      <c r="A126" s="721">
        <v>118</v>
      </c>
      <c r="B126" s="722"/>
      <c r="C126" s="722"/>
      <c r="D126" s="723"/>
      <c r="E126" s="723"/>
      <c r="F126" s="723"/>
      <c r="G126" s="724"/>
      <c r="H126" s="720"/>
      <c r="I126" s="712">
        <v>118</v>
      </c>
    </row>
    <row r="127" spans="1:9" hidden="1" outlineLevel="1" x14ac:dyDescent="0.2">
      <c r="A127" s="716">
        <v>119</v>
      </c>
      <c r="B127" s="717"/>
      <c r="C127" s="717"/>
      <c r="D127" s="718"/>
      <c r="E127" s="723"/>
      <c r="F127" s="723"/>
      <c r="G127" s="719"/>
      <c r="H127" s="720"/>
      <c r="I127" s="712">
        <v>119</v>
      </c>
    </row>
    <row r="128" spans="1:9" hidden="1" outlineLevel="1" x14ac:dyDescent="0.2">
      <c r="A128" s="721">
        <v>120</v>
      </c>
      <c r="B128" s="722"/>
      <c r="C128" s="722"/>
      <c r="D128" s="723"/>
      <c r="E128" s="723"/>
      <c r="F128" s="723"/>
      <c r="G128" s="724"/>
      <c r="H128" s="720"/>
      <c r="I128" s="712">
        <v>120</v>
      </c>
    </row>
    <row r="129" spans="1:9" hidden="1" outlineLevel="1" x14ac:dyDescent="0.2">
      <c r="A129" s="721">
        <v>121</v>
      </c>
      <c r="B129" s="722"/>
      <c r="C129" s="722"/>
      <c r="D129" s="723"/>
      <c r="E129" s="723"/>
      <c r="F129" s="723"/>
      <c r="G129" s="724"/>
      <c r="H129" s="720"/>
      <c r="I129" s="712">
        <v>121</v>
      </c>
    </row>
    <row r="130" spans="1:9" hidden="1" outlineLevel="1" x14ac:dyDescent="0.2">
      <c r="A130" s="721">
        <v>122</v>
      </c>
      <c r="B130" s="717"/>
      <c r="C130" s="717"/>
      <c r="D130" s="718"/>
      <c r="E130" s="723"/>
      <c r="F130" s="723"/>
      <c r="G130" s="719"/>
      <c r="H130" s="720"/>
      <c r="I130" s="712">
        <v>122</v>
      </c>
    </row>
    <row r="131" spans="1:9" hidden="1" outlineLevel="1" x14ac:dyDescent="0.2">
      <c r="A131" s="716">
        <v>123</v>
      </c>
      <c r="B131" s="722"/>
      <c r="C131" s="722"/>
      <c r="D131" s="723"/>
      <c r="E131" s="723"/>
      <c r="F131" s="723"/>
      <c r="G131" s="724"/>
      <c r="H131" s="720"/>
      <c r="I131" s="712">
        <v>123</v>
      </c>
    </row>
    <row r="132" spans="1:9" hidden="1" outlineLevel="1" x14ac:dyDescent="0.2">
      <c r="A132" s="721">
        <v>124</v>
      </c>
      <c r="B132" s="722"/>
      <c r="C132" s="722"/>
      <c r="D132" s="723"/>
      <c r="E132" s="723"/>
      <c r="F132" s="723"/>
      <c r="G132" s="724"/>
      <c r="H132" s="720"/>
      <c r="I132" s="712">
        <v>124</v>
      </c>
    </row>
    <row r="133" spans="1:9" hidden="1" outlineLevel="1" x14ac:dyDescent="0.2">
      <c r="A133" s="721">
        <v>125</v>
      </c>
      <c r="B133" s="717"/>
      <c r="C133" s="717"/>
      <c r="D133" s="718"/>
      <c r="E133" s="723"/>
      <c r="F133" s="723"/>
      <c r="G133" s="719"/>
      <c r="H133" s="720"/>
      <c r="I133" s="712">
        <v>125</v>
      </c>
    </row>
    <row r="134" spans="1:9" hidden="1" outlineLevel="1" x14ac:dyDescent="0.2">
      <c r="A134" s="721">
        <v>126</v>
      </c>
      <c r="B134" s="722"/>
      <c r="C134" s="722"/>
      <c r="D134" s="723"/>
      <c r="E134" s="723"/>
      <c r="F134" s="723"/>
      <c r="G134" s="724"/>
      <c r="H134" s="720"/>
      <c r="I134" s="712">
        <v>126</v>
      </c>
    </row>
    <row r="135" spans="1:9" hidden="1" outlineLevel="1" x14ac:dyDescent="0.2">
      <c r="A135" s="716">
        <v>127</v>
      </c>
      <c r="B135" s="722"/>
      <c r="C135" s="722"/>
      <c r="D135" s="723"/>
      <c r="E135" s="723"/>
      <c r="F135" s="723"/>
      <c r="G135" s="724"/>
      <c r="H135" s="720"/>
      <c r="I135" s="712">
        <v>127</v>
      </c>
    </row>
    <row r="136" spans="1:9" hidden="1" outlineLevel="1" x14ac:dyDescent="0.2">
      <c r="A136" s="721">
        <v>128</v>
      </c>
      <c r="B136" s="717"/>
      <c r="C136" s="717"/>
      <c r="D136" s="718"/>
      <c r="E136" s="723"/>
      <c r="F136" s="723"/>
      <c r="G136" s="719"/>
      <c r="H136" s="720"/>
      <c r="I136" s="712">
        <v>128</v>
      </c>
    </row>
    <row r="137" spans="1:9" hidden="1" outlineLevel="1" x14ac:dyDescent="0.2">
      <c r="A137" s="721">
        <v>129</v>
      </c>
      <c r="B137" s="717"/>
      <c r="C137" s="717"/>
      <c r="D137" s="718"/>
      <c r="E137" s="723"/>
      <c r="F137" s="723"/>
      <c r="G137" s="719"/>
      <c r="H137" s="720"/>
      <c r="I137" s="712"/>
    </row>
    <row r="138" spans="1:9" hidden="1" outlineLevel="1" x14ac:dyDescent="0.2">
      <c r="A138" s="721">
        <v>130</v>
      </c>
      <c r="B138" s="717"/>
      <c r="C138" s="717"/>
      <c r="D138" s="718"/>
      <c r="E138" s="723"/>
      <c r="F138" s="723"/>
      <c r="G138" s="719"/>
      <c r="H138" s="720"/>
      <c r="I138" s="712"/>
    </row>
    <row r="139" spans="1:9" hidden="1" outlineLevel="1" x14ac:dyDescent="0.2">
      <c r="A139" s="716">
        <v>131</v>
      </c>
      <c r="B139" s="717"/>
      <c r="C139" s="717"/>
      <c r="D139" s="718"/>
      <c r="E139" s="723"/>
      <c r="F139" s="723"/>
      <c r="G139" s="719"/>
      <c r="H139" s="720"/>
      <c r="I139" s="712"/>
    </row>
    <row r="140" spans="1:9" hidden="1" outlineLevel="1" x14ac:dyDescent="0.2">
      <c r="A140" s="721">
        <v>132</v>
      </c>
      <c r="B140" s="717"/>
      <c r="C140" s="717"/>
      <c r="D140" s="718"/>
      <c r="E140" s="723"/>
      <c r="F140" s="723"/>
      <c r="G140" s="719"/>
      <c r="H140" s="720"/>
      <c r="I140" s="712"/>
    </row>
    <row r="141" spans="1:9" hidden="1" outlineLevel="1" x14ac:dyDescent="0.2">
      <c r="A141" s="721">
        <v>133</v>
      </c>
      <c r="B141" s="722"/>
      <c r="C141" s="722"/>
      <c r="D141" s="723"/>
      <c r="E141" s="723"/>
      <c r="F141" s="723"/>
      <c r="G141" s="724"/>
      <c r="H141" s="720"/>
      <c r="I141" s="712"/>
    </row>
    <row r="142" spans="1:9" hidden="1" outlineLevel="1" x14ac:dyDescent="0.2">
      <c r="A142" s="721">
        <v>134</v>
      </c>
      <c r="B142" s="722"/>
      <c r="C142" s="722"/>
      <c r="D142" s="723"/>
      <c r="E142" s="723"/>
      <c r="F142" s="723"/>
      <c r="G142" s="724"/>
      <c r="H142" s="720"/>
      <c r="I142" s="712"/>
    </row>
    <row r="143" spans="1:9" collapsed="1" x14ac:dyDescent="0.2">
      <c r="B143" s="713" t="s">
        <v>293</v>
      </c>
      <c r="I143" s="712"/>
    </row>
    <row r="144" spans="1:9" x14ac:dyDescent="0.2">
      <c r="I144" s="712"/>
    </row>
    <row r="145" spans="2:9" x14ac:dyDescent="0.2">
      <c r="B145" s="727">
        <f>Rens!E13</f>
        <v>0</v>
      </c>
      <c r="I145" s="712"/>
    </row>
    <row r="146" spans="2:9" x14ac:dyDescent="0.2"/>
  </sheetData>
  <sheetProtection selectLockedCells="1"/>
  <mergeCells count="5">
    <mergeCell ref="A7:G7"/>
    <mergeCell ref="F1:G1"/>
    <mergeCell ref="A4:G4"/>
    <mergeCell ref="A5:G5"/>
    <mergeCell ref="A6:G6"/>
  </mergeCells>
  <phoneticPr fontId="0" type="noConversion"/>
  <printOptions horizontalCentered="1"/>
  <pageMargins left="0.27559055118110237" right="0.27559055118110237" top="0.43307086614173229" bottom="0.47244094488188981" header="0.43307086614173229" footer="0.39370078740157483"/>
  <pageSetup paperSize="9" scale="90" orientation="portrait" horizontalDpi="300" verticalDpi="300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92D050"/>
    <pageSetUpPr fitToPage="1"/>
  </sheetPr>
  <dimension ref="A1:FM57"/>
  <sheetViews>
    <sheetView showGridLines="0" view="pageBreakPreview" topLeftCell="A28" zoomScale="60" zoomScaleNormal="65" workbookViewId="0">
      <selection activeCell="C40" sqref="C40:E40"/>
    </sheetView>
  </sheetViews>
  <sheetFormatPr baseColWidth="10" defaultColWidth="11.42578125" defaultRowHeight="12.75" x14ac:dyDescent="0.2"/>
  <cols>
    <col min="1" max="3" width="2.7109375" style="602" customWidth="1"/>
    <col min="4" max="4" width="4.7109375" style="602" customWidth="1"/>
    <col min="5" max="5" width="9.85546875" style="602" customWidth="1"/>
    <col min="6" max="6" width="6.7109375" style="602" customWidth="1"/>
    <col min="7" max="7" width="3.7109375" style="602" customWidth="1"/>
    <col min="8" max="11" width="7.7109375" style="602" customWidth="1"/>
    <col min="12" max="12" width="11.42578125" style="602"/>
    <col min="13" max="16" width="7.7109375" style="602" customWidth="1"/>
    <col min="17" max="17" width="3.7109375" style="602" customWidth="1"/>
    <col min="18" max="22" width="7.85546875" style="602" customWidth="1"/>
    <col min="23" max="23" width="1.7109375" style="602" customWidth="1"/>
    <col min="24" max="27" width="6.85546875" style="602" customWidth="1"/>
    <col min="28" max="28" width="11.42578125" style="602"/>
    <col min="29" max="31" width="11.42578125" style="3"/>
    <col min="32" max="47" width="5.7109375" style="3" customWidth="1"/>
    <col min="48" max="48" width="7.42578125" style="3" customWidth="1"/>
    <col min="49" max="59" width="5.7109375" style="3" customWidth="1"/>
    <col min="60" max="60" width="20.42578125" style="3" customWidth="1"/>
    <col min="61" max="61" width="5.7109375" style="3" customWidth="1"/>
    <col min="62" max="62" width="7.28515625" style="3" customWidth="1"/>
    <col min="63" max="65" width="5.7109375" style="3" customWidth="1"/>
    <col min="66" max="66" width="12.140625" style="3" customWidth="1"/>
    <col min="67" max="67" width="7.28515625" style="3" customWidth="1"/>
    <col min="68" max="165" width="5.7109375" style="3" customWidth="1"/>
    <col min="166" max="169" width="11.42578125" style="3"/>
    <col min="170" max="16384" width="11.42578125" style="602"/>
  </cols>
  <sheetData>
    <row r="1" spans="1:169" ht="21.95" customHeight="1" x14ac:dyDescent="0.2">
      <c r="A1" s="891" t="str">
        <f>liste!$A$4</f>
        <v>Circuit décathlon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</row>
    <row r="2" spans="1:169" ht="21.95" customHeight="1" x14ac:dyDescent="0.2">
      <c r="A2" s="891"/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</row>
    <row r="3" spans="1:169" ht="21.95" customHeight="1" x14ac:dyDescent="0.2">
      <c r="A3" s="502"/>
      <c r="B3" s="503"/>
      <c r="C3" s="504"/>
      <c r="D3" s="504"/>
      <c r="E3" s="504"/>
      <c r="F3" s="504"/>
      <c r="G3" s="503"/>
      <c r="H3" s="505"/>
      <c r="I3" s="506"/>
      <c r="J3" s="506"/>
      <c r="K3" s="506"/>
      <c r="L3" s="507"/>
      <c r="M3" s="506"/>
      <c r="N3" s="506"/>
      <c r="O3" s="508"/>
      <c r="P3" s="508"/>
      <c r="Q3" s="508"/>
      <c r="R3" s="508"/>
      <c r="S3" s="508"/>
      <c r="T3" s="504"/>
      <c r="U3" s="505"/>
      <c r="V3" s="505"/>
      <c r="W3" s="504"/>
      <c r="X3" s="504"/>
      <c r="Y3" s="504"/>
      <c r="Z3" s="504"/>
      <c r="AA3" s="502"/>
      <c r="AC3" s="2" t="s">
        <v>5</v>
      </c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</row>
    <row r="4" spans="1:169" ht="21.95" customHeight="1" x14ac:dyDescent="0.2">
      <c r="A4" s="503"/>
      <c r="B4" s="503"/>
      <c r="C4" s="504"/>
      <c r="D4" s="503"/>
      <c r="E4" s="509" t="s">
        <v>6</v>
      </c>
      <c r="F4" s="894" t="str">
        <f>liste!$A$5</f>
        <v>Champagné</v>
      </c>
      <c r="G4" s="894"/>
      <c r="H4" s="894"/>
      <c r="I4" s="894"/>
      <c r="J4" s="894"/>
      <c r="K4" s="506"/>
      <c r="L4" s="506"/>
      <c r="M4" s="506"/>
      <c r="N4" s="508"/>
      <c r="O4" s="508"/>
      <c r="P4" s="508"/>
      <c r="Q4" s="508"/>
      <c r="R4" s="508"/>
      <c r="S4" s="509" t="s">
        <v>7</v>
      </c>
      <c r="T4" s="846">
        <f>liste!$A$7</f>
        <v>43421</v>
      </c>
      <c r="U4" s="846"/>
      <c r="V4" s="846"/>
      <c r="W4" s="846"/>
      <c r="X4" s="846"/>
      <c r="Y4" s="846"/>
      <c r="Z4" s="510"/>
      <c r="AA4" s="506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</row>
    <row r="5" spans="1:169" ht="21.95" customHeight="1" x14ac:dyDescent="0.2">
      <c r="A5" s="503"/>
      <c r="B5" s="503"/>
      <c r="C5" s="503"/>
      <c r="D5" s="503"/>
      <c r="E5" s="503"/>
      <c r="F5" s="503"/>
      <c r="G5" s="506"/>
      <c r="H5" s="506"/>
      <c r="I5" s="506"/>
      <c r="J5" s="506"/>
      <c r="K5" s="506"/>
      <c r="L5" s="506"/>
      <c r="M5" s="506"/>
      <c r="N5" s="508"/>
      <c r="O5" s="508"/>
      <c r="P5" s="508"/>
      <c r="Q5" s="508"/>
      <c r="R5" s="508"/>
      <c r="S5" s="508"/>
      <c r="T5" s="508"/>
      <c r="U5" s="508"/>
      <c r="V5" s="506"/>
      <c r="W5" s="504"/>
      <c r="X5" s="504"/>
      <c r="Y5" s="504"/>
      <c r="Z5" s="506"/>
      <c r="AA5" s="50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</row>
    <row r="6" spans="1:169" ht="21.95" customHeight="1" x14ac:dyDescent="0.2">
      <c r="A6" s="502"/>
      <c r="B6" s="503"/>
      <c r="C6" s="503"/>
      <c r="D6" s="503"/>
      <c r="E6" s="509" t="s">
        <v>11</v>
      </c>
      <c r="F6" s="885" t="str">
        <f>liste!$A$6</f>
        <v>Minimes</v>
      </c>
      <c r="G6" s="885"/>
      <c r="H6" s="885"/>
      <c r="I6" s="885"/>
      <c r="J6" s="885"/>
      <c r="K6" s="885"/>
      <c r="L6" s="511" t="s">
        <v>2</v>
      </c>
      <c r="M6" s="512" t="s">
        <v>33</v>
      </c>
      <c r="N6" s="504"/>
      <c r="O6" s="513" t="s">
        <v>287</v>
      </c>
      <c r="P6" s="503"/>
      <c r="Q6" s="512">
        <f>Rens!C7</f>
        <v>0</v>
      </c>
      <c r="R6" s="503"/>
      <c r="S6" s="503"/>
      <c r="T6" s="508"/>
      <c r="U6" s="513"/>
      <c r="V6" s="514" t="s">
        <v>171</v>
      </c>
      <c r="W6" s="504"/>
      <c r="X6" s="895" t="str">
        <f>Rens!$E$1</f>
        <v>2018/2019</v>
      </c>
      <c r="Y6" s="895"/>
      <c r="Z6" s="895"/>
      <c r="AA6" s="51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</row>
    <row r="7" spans="1:169" ht="21.95" customHeight="1" thickBot="1" x14ac:dyDescent="0.25">
      <c r="A7" s="503"/>
      <c r="B7" s="503"/>
      <c r="C7" s="503"/>
      <c r="D7" s="503"/>
      <c r="E7" s="503"/>
      <c r="F7" s="503"/>
      <c r="G7" s="503"/>
      <c r="H7" s="506"/>
      <c r="I7" s="506"/>
      <c r="J7" s="506"/>
      <c r="K7" s="506"/>
      <c r="L7" s="506"/>
      <c r="M7" s="506"/>
      <c r="N7" s="506"/>
      <c r="O7" s="508"/>
      <c r="P7" s="508"/>
      <c r="Q7" s="508"/>
      <c r="R7" s="508"/>
      <c r="S7" s="508"/>
      <c r="T7" s="508"/>
      <c r="U7" s="508"/>
      <c r="V7" s="508"/>
      <c r="W7" s="508"/>
      <c r="X7" s="506"/>
      <c r="Y7" s="506"/>
      <c r="Z7" s="506"/>
      <c r="AA7" s="506"/>
      <c r="AC7" s="2"/>
      <c r="AD7" s="2"/>
      <c r="AE7" s="31" t="s">
        <v>58</v>
      </c>
      <c r="AF7" s="32"/>
      <c r="AG7" s="32"/>
      <c r="AH7" s="32"/>
      <c r="AI7" s="33" t="s">
        <v>22</v>
      </c>
      <c r="AJ7" s="31" t="s">
        <v>5</v>
      </c>
      <c r="AK7" s="32"/>
      <c r="AL7" s="31" t="s">
        <v>23</v>
      </c>
      <c r="AM7" s="32"/>
      <c r="AN7" s="32"/>
      <c r="AO7" s="32"/>
      <c r="AP7" s="32"/>
      <c r="AQ7" s="32" t="str">
        <f>IF(AI7&lt;&gt;" ",AI7," ")</f>
        <v>IG1</v>
      </c>
      <c r="AR7" s="32"/>
      <c r="AS7" s="64"/>
      <c r="AT7" s="35"/>
      <c r="AU7" s="35"/>
      <c r="AV7" s="35"/>
      <c r="AW7" s="35"/>
      <c r="AX7" s="35"/>
      <c r="AY7" s="35" t="s">
        <v>5</v>
      </c>
      <c r="AZ7" s="35"/>
      <c r="BA7" s="35" t="s">
        <v>24</v>
      </c>
      <c r="BB7" s="35"/>
      <c r="BC7" s="35"/>
      <c r="BD7" s="35"/>
      <c r="BE7" s="35"/>
      <c r="BF7" s="35"/>
      <c r="BG7" s="35"/>
      <c r="BH7" s="34" t="s">
        <v>10</v>
      </c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2"/>
      <c r="FK7" s="2"/>
      <c r="FL7" s="2"/>
      <c r="FM7" s="2"/>
    </row>
    <row r="8" spans="1:169" ht="24.95" customHeight="1" thickBot="1" x14ac:dyDescent="0.25">
      <c r="A8" s="511"/>
      <c r="B8" s="511"/>
      <c r="C8" s="836" t="s">
        <v>8</v>
      </c>
      <c r="D8" s="838"/>
      <c r="E8" s="837"/>
      <c r="F8" s="836" t="s">
        <v>16</v>
      </c>
      <c r="G8" s="838"/>
      <c r="H8" s="837"/>
      <c r="I8" s="836" t="s">
        <v>20</v>
      </c>
      <c r="J8" s="838"/>
      <c r="K8" s="838"/>
      <c r="L8" s="838"/>
      <c r="M8" s="838"/>
      <c r="N8" s="837"/>
      <c r="O8" s="836" t="s">
        <v>4</v>
      </c>
      <c r="P8" s="837"/>
      <c r="Q8" s="836" t="s">
        <v>12</v>
      </c>
      <c r="R8" s="838"/>
      <c r="S8" s="838"/>
      <c r="T8" s="838"/>
      <c r="U8" s="838"/>
      <c r="V8" s="838"/>
      <c r="W8" s="838"/>
      <c r="X8" s="838"/>
      <c r="Y8" s="837"/>
      <c r="Z8" s="836" t="s">
        <v>286</v>
      </c>
      <c r="AA8" s="837"/>
      <c r="AC8" s="2"/>
      <c r="AD8" s="2"/>
      <c r="AE8" s="31" t="s">
        <v>5</v>
      </c>
      <c r="AF8" s="31"/>
      <c r="AG8" s="33" t="s">
        <v>14</v>
      </c>
      <c r="AH8" s="31"/>
      <c r="AI8" s="31"/>
      <c r="AJ8" s="31"/>
      <c r="AK8" s="31"/>
      <c r="AL8" s="31" t="s">
        <v>5</v>
      </c>
      <c r="AM8" s="31"/>
      <c r="AN8" s="32"/>
      <c r="AO8" s="32"/>
      <c r="AP8" s="32"/>
      <c r="AQ8" s="32"/>
      <c r="AR8" s="32"/>
      <c r="AS8" s="64"/>
      <c r="AT8" s="35"/>
      <c r="AU8" s="35"/>
      <c r="AV8" s="35"/>
      <c r="AW8" s="35"/>
      <c r="AX8" s="35"/>
      <c r="AY8" s="35" t="s">
        <v>10</v>
      </c>
      <c r="AZ8" s="35"/>
      <c r="BA8" s="35" t="s">
        <v>25</v>
      </c>
      <c r="BB8" s="34" t="s">
        <v>26</v>
      </c>
      <c r="BC8" s="34" t="s">
        <v>27</v>
      </c>
      <c r="BD8" s="34" t="s">
        <v>28</v>
      </c>
      <c r="BE8" s="34" t="s">
        <v>29</v>
      </c>
      <c r="BF8" s="35" t="s">
        <v>30</v>
      </c>
      <c r="BG8" s="35"/>
      <c r="BH8" s="34" t="s">
        <v>31</v>
      </c>
      <c r="BI8" s="35"/>
      <c r="BJ8" s="35"/>
      <c r="BK8" s="35" t="s">
        <v>32</v>
      </c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2"/>
      <c r="FK8" s="2"/>
      <c r="FL8" s="2"/>
      <c r="FM8" s="2"/>
    </row>
    <row r="9" spans="1:169" ht="27.95" customHeight="1" x14ac:dyDescent="0.2">
      <c r="A9" s="807">
        <v>1</v>
      </c>
      <c r="B9" s="808"/>
      <c r="C9" s="862">
        <f>liste!A9</f>
        <v>1</v>
      </c>
      <c r="D9" s="863"/>
      <c r="E9" s="864"/>
      <c r="F9" s="811">
        <f>IF(C9="","",VLOOKUP(C9,liste!$A$9:$G$145,7,FALSE))</f>
        <v>7223059</v>
      </c>
      <c r="G9" s="812" t="e">
        <f>IF(F9="","",VLOOKUP(F9,liste!$A$9:$G$145,7,FALSE))</f>
        <v>#N/A</v>
      </c>
      <c r="H9" s="813" t="e">
        <f>IF(G9="","",VLOOKUP(G9,liste!$A$9:$G$145,7,FALSE))</f>
        <v>#N/A</v>
      </c>
      <c r="I9" s="849" t="str">
        <f>IF(C9="","",VLOOKUP(C9,liste!$A$9:$G$145,2,FALSE))</f>
        <v>POIX--DOUILLARD Alexis</v>
      </c>
      <c r="J9" s="850"/>
      <c r="K9" s="850"/>
      <c r="L9" s="850"/>
      <c r="M9" s="850"/>
      <c r="N9" s="851"/>
      <c r="O9" s="883">
        <f>IF(C9="","",VLOOKUP(C9,liste!$A$9:$G$145,4,FALSE))</f>
        <v>5</v>
      </c>
      <c r="P9" s="884" t="str">
        <f>IF(J9="","",VLOOKUP(J9,liste!$A$9:$G$145,4,FALSE))</f>
        <v/>
      </c>
      <c r="Q9" s="857" t="str">
        <f>IF(C9="","",VLOOKUP(C9,liste!$A$9:$G$145,3,FALSE))</f>
        <v>LE GRAND LUCE USTT</v>
      </c>
      <c r="R9" s="858"/>
      <c r="S9" s="858"/>
      <c r="T9" s="858"/>
      <c r="U9" s="858"/>
      <c r="V9" s="858"/>
      <c r="W9" s="858"/>
      <c r="X9" s="858"/>
      <c r="Y9" s="859"/>
      <c r="Z9" s="857">
        <f>IF(C9="","",VLOOKUP(C9,liste!$A$9:$G$145,6,FALSE))</f>
        <v>500</v>
      </c>
      <c r="AA9" s="859" t="str">
        <f>IF(U9="","",VLOOKUP(U9,liste!$A$9:$G$145,4,FALSE))</f>
        <v/>
      </c>
      <c r="AB9" s="603" t="str">
        <f>"A"&amp;X23&amp;C9</f>
        <v>A1</v>
      </c>
      <c r="AC9" s="2"/>
      <c r="AD9" s="2"/>
      <c r="AE9" s="31" t="s">
        <v>33</v>
      </c>
      <c r="AF9" s="33">
        <v>1</v>
      </c>
      <c r="AG9" s="65">
        <f>C9</f>
        <v>1</v>
      </c>
      <c r="AH9" s="31" t="s">
        <v>5</v>
      </c>
      <c r="AI9" s="31" t="s">
        <v>5</v>
      </c>
      <c r="AJ9" s="31"/>
      <c r="AK9" s="31"/>
      <c r="AL9" s="31" t="s">
        <v>34</v>
      </c>
      <c r="AM9" s="31" t="e">
        <f>IF($BK$9=1,$AF$9,IF($BK$10=1,$AF$10,IF($BK$11=1,$AF$11,IF($BK$12=1,$AF$12,""))))</f>
        <v>#VALUE!</v>
      </c>
      <c r="AN9" s="32"/>
      <c r="AO9" s="36" t="e">
        <f>VLOOKUP(AM9,AF9:AG12,2)</f>
        <v>#VALUE!</v>
      </c>
      <c r="AP9" s="32"/>
      <c r="AQ9" s="32"/>
      <c r="AR9" s="32"/>
      <c r="AS9" s="64" t="s">
        <v>5</v>
      </c>
      <c r="AT9" s="35"/>
      <c r="AU9" s="35"/>
      <c r="AV9" s="66" t="e">
        <f>BH9</f>
        <v>#VALUE!</v>
      </c>
      <c r="AW9" s="35"/>
      <c r="AX9" s="35" t="s">
        <v>33</v>
      </c>
      <c r="AY9" s="35" t="e">
        <f>CF18</f>
        <v>#VALUE!</v>
      </c>
      <c r="AZ9" s="35"/>
      <c r="BA9" s="34" t="e">
        <f>IF(DE18&gt;0,CX18/DE18,IF(CX18&gt;0,CX18/1,0))</f>
        <v>#VALUE!</v>
      </c>
      <c r="BB9" s="34" t="e">
        <f>IF(DS18&gt;0,IF(BA9=0,0,DL18/DS18),IF(DL18&gt;0,DL18/1,0))</f>
        <v>#VALUE!</v>
      </c>
      <c r="BC9" s="35" t="e">
        <f>IF(BA9&lt;&gt;0,IF(EG18&gt;0,DZ18/EG18,0),0)</f>
        <v>#VALUE!</v>
      </c>
      <c r="BD9" s="35" t="s">
        <v>5</v>
      </c>
      <c r="BE9" s="34" t="e">
        <f>IF(EU18&gt;0,IF(BC9=0,0,EN18/EU18),IF(EN18&gt;0,EN18/1,0))</f>
        <v>#VALUE!</v>
      </c>
      <c r="BF9" s="34" t="e">
        <f>IF(BE9&lt;&gt;0,IF(FI18&gt;0,FB18/FI18,0),0)</f>
        <v>#VALUE!</v>
      </c>
      <c r="BG9" s="34" t="s">
        <v>33</v>
      </c>
      <c r="BH9" s="37" t="e">
        <f>AY9+BA9*0.01+BB9*0.0001+BC9*0.000001+BE9*0.00000001+BF9*0.0000000001</f>
        <v>#VALUE!</v>
      </c>
      <c r="BI9" s="35"/>
      <c r="BJ9" s="35"/>
      <c r="BK9" s="34" t="e">
        <f>RANK(BH9,BH9:BH15,)</f>
        <v>#VALUE!</v>
      </c>
      <c r="BL9" s="34"/>
      <c r="BM9" s="34"/>
      <c r="BN9" s="34"/>
      <c r="BO9" s="34" t="e">
        <f>IF(BH9=MIN(BH9:BH14),4,IF(BH9=MAX(BH9:BH14),1,0))</f>
        <v>#VALUE!</v>
      </c>
      <c r="BP9" s="34" t="e">
        <f>IF(BO9=0,BH9,0)</f>
        <v>#VALUE!</v>
      </c>
      <c r="BQ9" s="34" t="e">
        <f>IF(BP9&lt;&gt;0,IF(BP9=MAX(BP9:BP14),2,IF(BP9=MIN(BP9:BP14),3,0)),0)</f>
        <v>#VALUE!</v>
      </c>
      <c r="BR9" s="34" t="e">
        <f>IF(AND(BO9=0,BQ9=0),3,0)</f>
        <v>#VALUE!</v>
      </c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2"/>
      <c r="FK9" s="2"/>
      <c r="FL9" s="2"/>
      <c r="FM9" s="2"/>
    </row>
    <row r="10" spans="1:169" ht="27.95" customHeight="1" x14ac:dyDescent="0.2">
      <c r="A10" s="809">
        <v>2</v>
      </c>
      <c r="B10" s="810"/>
      <c r="C10" s="801">
        <v>16</v>
      </c>
      <c r="D10" s="802"/>
      <c r="E10" s="803"/>
      <c r="F10" s="804">
        <f>IF(C10="","",VLOOKUP(C10,liste!$A$9:$G$145,7,FALSE))</f>
        <v>7223268</v>
      </c>
      <c r="G10" s="805" t="e">
        <f>IF(F10="","",VLOOKUP(F10,liste!$A$9:$G$145,7,FALSE))</f>
        <v>#N/A</v>
      </c>
      <c r="H10" s="806" t="e">
        <f>IF(G10="","",VLOOKUP(G10,liste!$A$9:$G$145,7,FALSE))</f>
        <v>#N/A</v>
      </c>
      <c r="I10" s="852" t="str">
        <f>IF(C10="","",VLOOKUP(C10,liste!$A$9:$G$145,2,FALSE))</f>
        <v>Bourneuf Tom</v>
      </c>
      <c r="J10" s="853"/>
      <c r="K10" s="853"/>
      <c r="L10" s="853"/>
      <c r="M10" s="853"/>
      <c r="N10" s="854"/>
      <c r="O10" s="855">
        <f>IF(C10="","",VLOOKUP(C10,liste!$A$9:$G$145,4,FALSE))</f>
        <v>5</v>
      </c>
      <c r="P10" s="856" t="str">
        <f>IF(J10="","",VLOOKUP(J10,liste!$A$9:$G$145,4,FALSE))</f>
        <v/>
      </c>
      <c r="Q10" s="829" t="str">
        <f>IF(C10="","",VLOOKUP(C10,liste!$A$9:$G$145,3,FALSE))</f>
        <v>LA FLECHE</v>
      </c>
      <c r="R10" s="830"/>
      <c r="S10" s="830"/>
      <c r="T10" s="830"/>
      <c r="U10" s="830"/>
      <c r="V10" s="830"/>
      <c r="W10" s="830"/>
      <c r="X10" s="830"/>
      <c r="Y10" s="831"/>
      <c r="Z10" s="829">
        <f>IF(C10="","",VLOOKUP(C10,liste!$A$9:$G$145,6,FALSE))</f>
        <v>500</v>
      </c>
      <c r="AA10" s="831" t="str">
        <f>IF(U10="","",VLOOKUP(U10,liste!$A$9:$G$145,4,FALSE))</f>
        <v/>
      </c>
      <c r="AB10" s="603" t="str">
        <f>"A"&amp;Y23&amp;C10</f>
        <v>A16</v>
      </c>
      <c r="AC10" s="2"/>
      <c r="AD10" s="2"/>
      <c r="AE10" s="31" t="s">
        <v>35</v>
      </c>
      <c r="AF10" s="33">
        <v>2</v>
      </c>
      <c r="AG10" s="65">
        <f>C10</f>
        <v>16</v>
      </c>
      <c r="AH10" s="31" t="s">
        <v>5</v>
      </c>
      <c r="AI10" s="31" t="s">
        <v>5</v>
      </c>
      <c r="AJ10" s="31"/>
      <c r="AK10" s="31"/>
      <c r="AL10" s="31" t="s">
        <v>59</v>
      </c>
      <c r="AM10" s="31" t="e">
        <f>IF($BK$9=2,$AF$9,IF($BK$10=2,$AF$10,IF($BK$11=2,$AF$11,IF($BK$12=2,$AF$12,""))))</f>
        <v>#VALUE!</v>
      </c>
      <c r="AN10" s="32"/>
      <c r="AO10" s="36" t="e">
        <f>VLOOKUP(AM10,AF9:AG12,2)</f>
        <v>#VALUE!</v>
      </c>
      <c r="AP10" s="32"/>
      <c r="AQ10" s="32"/>
      <c r="AR10" s="32"/>
      <c r="AS10" s="64" t="s">
        <v>5</v>
      </c>
      <c r="AT10" s="35"/>
      <c r="AU10" s="35"/>
      <c r="AV10" s="66" t="e">
        <f>BH10</f>
        <v>#VALUE!</v>
      </c>
      <c r="AW10" s="35"/>
      <c r="AX10" s="35" t="s">
        <v>35</v>
      </c>
      <c r="AY10" s="35" t="e">
        <f>CF19</f>
        <v>#VALUE!</v>
      </c>
      <c r="AZ10" s="35"/>
      <c r="BA10" s="34" t="e">
        <f>IF(DE19&gt;0,CX19/DE19,IF(CX19&gt;0,CX19/1,0))</f>
        <v>#VALUE!</v>
      </c>
      <c r="BB10" s="34" t="e">
        <f>IF(DS19&gt;0,IF(BA10=0,0,DL19/DS19),IF(DL19&gt;0,DL19/1,0))</f>
        <v>#VALUE!</v>
      </c>
      <c r="BC10" s="35" t="e">
        <f>IF(BA10&lt;&gt;0,IF(EG19&gt;0,DZ19/EG19,0),0)</f>
        <v>#VALUE!</v>
      </c>
      <c r="BD10" s="35" t="s">
        <v>5</v>
      </c>
      <c r="BE10" s="34" t="e">
        <f>IF(EU19&gt;0,IF(BC10=0,0,EN19/EU19),IF(EN19&gt;0,EN19/1,0))</f>
        <v>#VALUE!</v>
      </c>
      <c r="BF10" s="34" t="e">
        <f>IF(BE10&lt;&gt;0,IF(FI19&gt;0,FB19/FI19,0),0)</f>
        <v>#VALUE!</v>
      </c>
      <c r="BG10" s="34" t="s">
        <v>35</v>
      </c>
      <c r="BH10" s="37" t="e">
        <f>AY10+BA10*0.01+BB10*0.0001+BC10*0.000001+BE10*0.00000001+BF10*0.0000000001</f>
        <v>#VALUE!</v>
      </c>
      <c r="BI10" s="35"/>
      <c r="BJ10" s="35"/>
      <c r="BK10" s="34" t="e">
        <f>RANK(BH10,BH9:BH15,)</f>
        <v>#VALUE!</v>
      </c>
      <c r="BL10" s="34"/>
      <c r="BM10" s="34"/>
      <c r="BN10" s="34"/>
      <c r="BO10" s="34" t="e">
        <f>IF(BH10=MIN(BH9:BH14),4,IF(BH10=MAX(BH9:BH14),1,0))</f>
        <v>#VALUE!</v>
      </c>
      <c r="BP10" s="34" t="e">
        <f>IF(BO10=0,BH10,0)</f>
        <v>#VALUE!</v>
      </c>
      <c r="BQ10" s="34" t="e">
        <f>IF(BP10&lt;&gt;0,IF(BP10=MAX(BP9:BP14),2,IF(BP10=MIN(BP9:BP14),3,0)),0)</f>
        <v>#VALUE!</v>
      </c>
      <c r="BR10" s="34" t="e">
        <f>IF(AND(BO10=0,BQ10=0),3,0)</f>
        <v>#VALUE!</v>
      </c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2"/>
      <c r="FK10" s="2"/>
      <c r="FL10" s="2"/>
      <c r="FM10" s="2"/>
    </row>
    <row r="11" spans="1:169" ht="27.95" customHeight="1" x14ac:dyDescent="0.2">
      <c r="A11" s="809">
        <v>3</v>
      </c>
      <c r="B11" s="810"/>
      <c r="C11" s="801">
        <f>liste!A25</f>
        <v>17</v>
      </c>
      <c r="D11" s="802"/>
      <c r="E11" s="803"/>
      <c r="F11" s="804">
        <f>IF(C11="","",VLOOKUP(C11,liste!$A$9:$G$145,7,FALSE))</f>
        <v>7223056</v>
      </c>
      <c r="G11" s="805" t="e">
        <f>IF(F11="","",VLOOKUP(F11,liste!$A$9:$G$145,7,FALSE))</f>
        <v>#N/A</v>
      </c>
      <c r="H11" s="806" t="e">
        <f>IF(G11="","",VLOOKUP(G11,liste!$A$9:$G$145,7,FALSE))</f>
        <v>#N/A</v>
      </c>
      <c r="I11" s="852" t="str">
        <f>IF(C11="","",VLOOKUP(C11,liste!$A$9:$G$145,2,FALSE))</f>
        <v>BEAUDRON Mathias</v>
      </c>
      <c r="J11" s="853"/>
      <c r="K11" s="853"/>
      <c r="L11" s="853"/>
      <c r="M11" s="853"/>
      <c r="N11" s="854"/>
      <c r="O11" s="855">
        <f>IF(C11="","",VLOOKUP(C11,liste!$A$9:$G$145,4,FALSE))</f>
        <v>5</v>
      </c>
      <c r="P11" s="856" t="str">
        <f>IF(J11="","",VLOOKUP(J11,liste!$A$9:$G$145,4,FALSE))</f>
        <v/>
      </c>
      <c r="Q11" s="829" t="str">
        <f>IF(C11="","",VLOOKUP(C11,liste!$A$9:$G$145,3,FALSE))</f>
        <v>MONCE TENNIS DE TABLE</v>
      </c>
      <c r="R11" s="830"/>
      <c r="S11" s="830"/>
      <c r="T11" s="830"/>
      <c r="U11" s="830"/>
      <c r="V11" s="830"/>
      <c r="W11" s="830"/>
      <c r="X11" s="830"/>
      <c r="Y11" s="831"/>
      <c r="Z11" s="829">
        <f>IF(C11="","",VLOOKUP(C11,liste!$A$9:$G$145,6,FALSE))</f>
        <v>500</v>
      </c>
      <c r="AA11" s="831" t="str">
        <f>IF(U11="","",VLOOKUP(U11,liste!$A$9:$G$145,4,FALSE))</f>
        <v/>
      </c>
      <c r="AB11" s="603" t="str">
        <f>"A"&amp;Z23&amp;C11</f>
        <v>A17</v>
      </c>
      <c r="AC11" s="2"/>
      <c r="AD11" s="2"/>
      <c r="AE11" s="31" t="s">
        <v>36</v>
      </c>
      <c r="AF11" s="33">
        <v>3</v>
      </c>
      <c r="AG11" s="65">
        <f>C11</f>
        <v>17</v>
      </c>
      <c r="AH11" s="31" t="s">
        <v>5</v>
      </c>
      <c r="AI11" s="31" t="s">
        <v>5</v>
      </c>
      <c r="AJ11" s="31"/>
      <c r="AK11" s="31"/>
      <c r="AL11" s="31" t="s">
        <v>60</v>
      </c>
      <c r="AM11" s="31" t="e">
        <f>IF($BK$9=3,$AF$9,IF($BK$10=3,$AF$10,IF($BK$11=3,$AF$11,IF($BK$12=3,$AF$12,""))))</f>
        <v>#VALUE!</v>
      </c>
      <c r="AN11" s="32"/>
      <c r="AO11" s="36" t="e">
        <f>VLOOKUP(AM11,AF9:AG12,2)</f>
        <v>#VALUE!</v>
      </c>
      <c r="AP11" s="32"/>
      <c r="AQ11" s="32"/>
      <c r="AR11" s="32"/>
      <c r="AS11" s="64" t="s">
        <v>5</v>
      </c>
      <c r="AT11" s="35"/>
      <c r="AU11" s="35"/>
      <c r="AV11" s="66" t="e">
        <f>BH11</f>
        <v>#VALUE!</v>
      </c>
      <c r="AW11" s="35"/>
      <c r="AX11" s="35" t="s">
        <v>36</v>
      </c>
      <c r="AY11" s="35" t="e">
        <f>CF20</f>
        <v>#VALUE!</v>
      </c>
      <c r="AZ11" s="35"/>
      <c r="BA11" s="34" t="e">
        <f>IF(DE20&gt;0,CX20/DE20,IF(CX20&gt;0,CX20/1,0))</f>
        <v>#VALUE!</v>
      </c>
      <c r="BB11" s="34" t="e">
        <f>IF(DS20&gt;0,IF(BA11=0,0,DL20/DS20),IF(DL20&gt;0,DL20/1,0))</f>
        <v>#VALUE!</v>
      </c>
      <c r="BC11" s="35" t="e">
        <f>IF(BA11&lt;&gt;0,IF(EG20&gt;0,DZ20/EG20,0),0)</f>
        <v>#VALUE!</v>
      </c>
      <c r="BD11" s="35" t="s">
        <v>5</v>
      </c>
      <c r="BE11" s="34" t="e">
        <f>IF(EU20&gt;0,IF(BC11=0,0,EN20/EU20),IF(EN20&gt;0,EN20/1,0))</f>
        <v>#VALUE!</v>
      </c>
      <c r="BF11" s="34" t="e">
        <f>IF(BE11&lt;&gt;0,IF(FI20&gt;0,FB20/FI20,0),0)</f>
        <v>#VALUE!</v>
      </c>
      <c r="BG11" s="34" t="s">
        <v>36</v>
      </c>
      <c r="BH11" s="37" t="e">
        <f>AY11+BA11*0.01+BB11*0.0001+BC11*0.000001+BE11*0.00000001+BF11*0.0000000001</f>
        <v>#VALUE!</v>
      </c>
      <c r="BI11" s="35"/>
      <c r="BJ11" s="35"/>
      <c r="BK11" s="34" t="e">
        <f>RANK(BH11,BH9:BH15,)</f>
        <v>#VALUE!</v>
      </c>
      <c r="BL11" s="34"/>
      <c r="BM11" s="34"/>
      <c r="BN11" s="34"/>
      <c r="BO11" s="34" t="e">
        <f>IF(BH11=MIN(BH9:BH14),4,IF(BH11=MAX(BH9:BH14),1,0))</f>
        <v>#VALUE!</v>
      </c>
      <c r="BP11" s="34" t="e">
        <f>IF(BO11=0,BH11,0)</f>
        <v>#VALUE!</v>
      </c>
      <c r="BQ11" s="34" t="e">
        <f>IF(BP11&lt;&gt;0,IF(BP11=MAX(BP9:BP14),2,IF(BP11=MIN(BP9:BP14),3,0)),0)</f>
        <v>#VALUE!</v>
      </c>
      <c r="BR11" s="34" t="e">
        <f>IF(AND(BO11=0,BQ11=0),3,0)</f>
        <v>#VALUE!</v>
      </c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2"/>
      <c r="FK11" s="2"/>
      <c r="FL11" s="2"/>
      <c r="FM11" s="2"/>
    </row>
    <row r="12" spans="1:169" ht="27.95" customHeight="1" thickBot="1" x14ac:dyDescent="0.25">
      <c r="A12" s="872">
        <v>4</v>
      </c>
      <c r="B12" s="873"/>
      <c r="C12" s="865">
        <f>liste!A40</f>
        <v>32</v>
      </c>
      <c r="D12" s="866"/>
      <c r="E12" s="867"/>
      <c r="F12" s="814">
        <f>IF(C12="","",VLOOKUP(C12,liste!$A$9:$G$145,7,FALSE))</f>
        <v>0</v>
      </c>
      <c r="G12" s="815" t="e">
        <f>IF(F12="","",VLOOKUP(F12,liste!$A$9:$G$145,7,FALSE))</f>
        <v>#N/A</v>
      </c>
      <c r="H12" s="816" t="e">
        <f>IF(G12="","",VLOOKUP(G12,liste!$A$9:$G$145,7,FALSE))</f>
        <v>#N/A</v>
      </c>
      <c r="I12" s="826">
        <f>IF(C12="","",VLOOKUP(C12,liste!$A$9:$G$145,2,FALSE))</f>
        <v>0</v>
      </c>
      <c r="J12" s="827"/>
      <c r="K12" s="827"/>
      <c r="L12" s="827"/>
      <c r="M12" s="827"/>
      <c r="N12" s="828"/>
      <c r="O12" s="841">
        <f>IF(C12="","",VLOOKUP(C12,liste!$A$9:$G$145,4,FALSE))</f>
        <v>0</v>
      </c>
      <c r="P12" s="842" t="str">
        <f>IF(J12="","",VLOOKUP(J12,liste!$A$9:$G$145,4,FALSE))</f>
        <v/>
      </c>
      <c r="Q12" s="843">
        <f>IF(C12="","",VLOOKUP(C12,liste!$A$9:$G$145,3,FALSE))</f>
        <v>0</v>
      </c>
      <c r="R12" s="844"/>
      <c r="S12" s="844"/>
      <c r="T12" s="844"/>
      <c r="U12" s="844"/>
      <c r="V12" s="844"/>
      <c r="W12" s="844"/>
      <c r="X12" s="844"/>
      <c r="Y12" s="845"/>
      <c r="Z12" s="843">
        <f>IF(C12="","",VLOOKUP(C12,liste!$A$9:$G$145,6,FALSE))</f>
        <v>0</v>
      </c>
      <c r="AA12" s="845" t="str">
        <f>IF(U12="","",VLOOKUP(U12,liste!$A$9:$G$145,4,FALSE))</f>
        <v/>
      </c>
      <c r="AB12" s="603" t="str">
        <f>"A"&amp;AA23&amp;C12</f>
        <v>A32</v>
      </c>
      <c r="AC12" s="2"/>
      <c r="AD12" s="2"/>
      <c r="AE12" s="31" t="s">
        <v>61</v>
      </c>
      <c r="AF12" s="33">
        <v>4</v>
      </c>
      <c r="AG12" s="65">
        <f>C12</f>
        <v>32</v>
      </c>
      <c r="AH12" s="31" t="s">
        <v>5</v>
      </c>
      <c r="AI12" s="31" t="s">
        <v>5</v>
      </c>
      <c r="AJ12" s="31"/>
      <c r="AK12" s="31"/>
      <c r="AL12" s="31" t="s">
        <v>62</v>
      </c>
      <c r="AM12" s="31" t="e">
        <f>IF($BK$9=4,$AF$9,IF($BK$10=4,$AF$10,IF($BK$11=4,$AF$11,IF($BK$12=4,$AF$12,""))))</f>
        <v>#VALUE!</v>
      </c>
      <c r="AN12" s="32"/>
      <c r="AO12" s="36" t="e">
        <f>VLOOKUP(AM12,AF9:AG12,2)</f>
        <v>#VALUE!</v>
      </c>
      <c r="AP12" s="32"/>
      <c r="AQ12" s="32"/>
      <c r="AR12" s="32"/>
      <c r="AS12" s="64" t="s">
        <v>5</v>
      </c>
      <c r="AT12" s="67"/>
      <c r="AU12" s="35"/>
      <c r="AV12" s="66" t="e">
        <f>BH12</f>
        <v>#VALUE!</v>
      </c>
      <c r="AW12" s="35"/>
      <c r="AX12" s="35" t="s">
        <v>61</v>
      </c>
      <c r="AY12" s="35" t="e">
        <f>CF21</f>
        <v>#VALUE!</v>
      </c>
      <c r="AZ12" s="35"/>
      <c r="BA12" s="34" t="e">
        <f>IF(DE21&gt;0,CX21/DE21,IF(CX21&gt;0,CX21/1,0))</f>
        <v>#VALUE!</v>
      </c>
      <c r="BB12" s="34" t="e">
        <f>IF(DS21&gt;0,IF(BA12=0,0,DL21/DS21),IF(DL21&gt;0,DL21/1,0))</f>
        <v>#VALUE!</v>
      </c>
      <c r="BC12" s="35" t="e">
        <f>IF(BA12&lt;&gt;0,IF(EG21&gt;0,DZ21/EG21,0),0)</f>
        <v>#VALUE!</v>
      </c>
      <c r="BD12" s="35" t="s">
        <v>5</v>
      </c>
      <c r="BE12" s="34" t="e">
        <f>IF(EU21&gt;0,IF(BC12=0,0,EN21/EU21),IF(EN21&gt;0,EN21/1,0))</f>
        <v>#VALUE!</v>
      </c>
      <c r="BF12" s="35" t="e">
        <f>IF(BE12&lt;&gt;0,IF(FI21&gt;0,FB21/FI21,0),0)</f>
        <v>#VALUE!</v>
      </c>
      <c r="BG12" s="34" t="s">
        <v>61</v>
      </c>
      <c r="BH12" s="37" t="e">
        <f>AY12+BA12*0.01+BB12*0.0001+BC12*0.000001+BE12*0.00000001+BF12*0.0000000001</f>
        <v>#VALUE!</v>
      </c>
      <c r="BI12" s="35"/>
      <c r="BJ12" s="35"/>
      <c r="BK12" s="34" t="e">
        <f>RANK(BH12,BH9:BH15,)</f>
        <v>#VALUE!</v>
      </c>
      <c r="BL12" s="34"/>
      <c r="BM12" s="34"/>
      <c r="BN12" s="34"/>
      <c r="BO12" s="34" t="e">
        <f>IF(BH12=MIN(BH9:BH14),4,IF(BH12=MAX(BH9:BH14),1,0))</f>
        <v>#VALUE!</v>
      </c>
      <c r="BP12" s="34" t="e">
        <f>IF(BO12=0,BH12,0)</f>
        <v>#VALUE!</v>
      </c>
      <c r="BQ12" s="34" t="e">
        <f>IF(BP12&lt;&gt;0,IF(BP12=MAX(BP9:BP14),2,IF(BP12=MIN(BP9:BP14),3,0)),0)</f>
        <v>#VALUE!</v>
      </c>
      <c r="BR12" s="34" t="e">
        <f>IF(AND(BO12=0,BQ12=0),3,0)</f>
        <v>#VALUE!</v>
      </c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2"/>
      <c r="FK12" s="2"/>
      <c r="FL12" s="2"/>
      <c r="FM12" s="2"/>
    </row>
    <row r="13" spans="1:169" ht="21.95" customHeight="1" thickBot="1" x14ac:dyDescent="0.25">
      <c r="A13" s="503"/>
      <c r="B13" s="503"/>
      <c r="C13" s="503"/>
      <c r="D13" s="503"/>
      <c r="E13" s="503"/>
      <c r="F13" s="503"/>
      <c r="G13" s="503"/>
      <c r="H13" s="506"/>
      <c r="I13" s="506"/>
      <c r="J13" s="506"/>
      <c r="K13" s="506"/>
      <c r="L13" s="506"/>
      <c r="M13" s="506"/>
      <c r="N13" s="506"/>
      <c r="O13" s="508"/>
      <c r="P13" s="508"/>
      <c r="Q13" s="508"/>
      <c r="R13" s="508"/>
      <c r="S13" s="508"/>
      <c r="T13" s="508"/>
      <c r="U13" s="508"/>
      <c r="V13" s="508"/>
      <c r="W13" s="508"/>
      <c r="X13" s="515"/>
      <c r="Y13" s="515"/>
      <c r="Z13" s="515"/>
      <c r="AA13" s="515"/>
      <c r="AC13" s="2"/>
      <c r="AD13" s="2"/>
      <c r="AE13" s="32"/>
      <c r="AF13" s="36"/>
      <c r="AG13" s="32"/>
      <c r="AH13" s="32"/>
      <c r="AI13" s="32"/>
      <c r="AJ13" s="32"/>
      <c r="AK13" s="32"/>
      <c r="AL13" s="32"/>
      <c r="AM13" s="32"/>
      <c r="AN13" s="32"/>
      <c r="AO13" s="36"/>
      <c r="AP13" s="32"/>
      <c r="AQ13" s="32"/>
      <c r="AR13" s="32"/>
      <c r="AS13" s="35"/>
      <c r="AT13" s="35"/>
      <c r="AU13" s="35"/>
      <c r="AV13" s="35"/>
      <c r="AW13" s="35"/>
      <c r="AX13" s="35"/>
      <c r="AY13" s="35"/>
      <c r="AZ13" s="35"/>
      <c r="BA13" s="34"/>
      <c r="BB13" s="34"/>
      <c r="BC13" s="35"/>
      <c r="BD13" s="35"/>
      <c r="BE13" s="34"/>
      <c r="BF13" s="35"/>
      <c r="BG13" s="34"/>
      <c r="BH13" s="37"/>
      <c r="BI13" s="35"/>
      <c r="BJ13" s="35"/>
      <c r="BK13" s="34"/>
      <c r="BL13" s="34"/>
      <c r="BM13" s="34"/>
      <c r="BN13" s="34"/>
      <c r="BO13" s="34"/>
      <c r="BP13" s="34"/>
      <c r="BQ13" s="34"/>
      <c r="BR13" s="34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2"/>
      <c r="FK13" s="2"/>
      <c r="FL13" s="2"/>
      <c r="FM13" s="2"/>
    </row>
    <row r="14" spans="1:169" ht="21.95" customHeight="1" thickBot="1" x14ac:dyDescent="0.25">
      <c r="A14" s="503"/>
      <c r="B14" s="503"/>
      <c r="C14" s="503"/>
      <c r="D14" s="503"/>
      <c r="E14" s="503"/>
      <c r="F14" s="503"/>
      <c r="G14" s="503"/>
      <c r="H14" s="506"/>
      <c r="I14" s="506"/>
      <c r="J14" s="506"/>
      <c r="K14" s="506"/>
      <c r="L14" s="506"/>
      <c r="M14" s="506"/>
      <c r="N14" s="506"/>
      <c r="O14" s="508"/>
      <c r="P14" s="508"/>
      <c r="Q14" s="508"/>
      <c r="R14" s="839" t="s">
        <v>19</v>
      </c>
      <c r="S14" s="840"/>
      <c r="T14" s="840"/>
      <c r="U14" s="840"/>
      <c r="V14" s="840"/>
      <c r="W14" s="516"/>
      <c r="X14" s="836" t="s">
        <v>10</v>
      </c>
      <c r="Y14" s="838"/>
      <c r="Z14" s="838"/>
      <c r="AA14" s="837"/>
      <c r="AC14" s="2"/>
      <c r="AD14" s="2"/>
      <c r="AE14" s="62"/>
      <c r="AF14" s="59"/>
      <c r="AG14" s="62"/>
      <c r="AH14" s="62"/>
      <c r="AI14" s="62"/>
      <c r="AJ14" s="62"/>
      <c r="AK14" s="62"/>
      <c r="AL14" s="62"/>
      <c r="AM14" s="62"/>
      <c r="AN14" s="62"/>
      <c r="AO14" s="59"/>
      <c r="AP14" s="62"/>
      <c r="AQ14" s="62"/>
      <c r="AR14" s="62"/>
      <c r="AS14" s="35"/>
      <c r="AT14" s="35"/>
      <c r="AU14" s="35"/>
      <c r="AV14" s="35"/>
      <c r="AW14" s="35"/>
      <c r="AX14" s="35"/>
      <c r="AY14" s="35"/>
      <c r="AZ14" s="35"/>
      <c r="BA14" s="34"/>
      <c r="BB14" s="34"/>
      <c r="BC14" s="35"/>
      <c r="BD14" s="35"/>
      <c r="BE14" s="35"/>
      <c r="BF14" s="35"/>
      <c r="BG14" s="34"/>
      <c r="BH14" s="37"/>
      <c r="BI14" s="35"/>
      <c r="BJ14" s="35"/>
      <c r="BK14" s="34"/>
      <c r="BL14" s="34"/>
      <c r="BM14" s="34"/>
      <c r="BN14" s="34"/>
      <c r="BO14" s="34"/>
      <c r="BP14" s="34"/>
      <c r="BQ14" s="34"/>
      <c r="BR14" s="34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2"/>
      <c r="FK14" s="2"/>
      <c r="FL14" s="2"/>
      <c r="FM14" s="2"/>
    </row>
    <row r="15" spans="1:169" ht="21.95" customHeight="1" thickBot="1" x14ac:dyDescent="0.25">
      <c r="A15" s="517"/>
      <c r="B15" s="517"/>
      <c r="C15" s="517"/>
      <c r="D15" s="517"/>
      <c r="E15" s="518" t="s">
        <v>181</v>
      </c>
      <c r="F15" s="519" t="s">
        <v>178</v>
      </c>
      <c r="G15" s="517"/>
      <c r="H15" s="515"/>
      <c r="I15" s="515"/>
      <c r="J15" s="515"/>
      <c r="K15" s="515"/>
      <c r="L15" s="515"/>
      <c r="M15" s="515"/>
      <c r="N15" s="515"/>
      <c r="O15" s="520"/>
      <c r="P15" s="520"/>
      <c r="Q15" s="520"/>
      <c r="R15" s="521">
        <v>1</v>
      </c>
      <c r="S15" s="522">
        <v>2</v>
      </c>
      <c r="T15" s="522">
        <v>3</v>
      </c>
      <c r="U15" s="523">
        <v>4</v>
      </c>
      <c r="V15" s="524">
        <v>5</v>
      </c>
      <c r="W15" s="516"/>
      <c r="X15" s="525">
        <v>1</v>
      </c>
      <c r="Y15" s="526">
        <v>2</v>
      </c>
      <c r="Z15" s="526">
        <v>3</v>
      </c>
      <c r="AA15" s="527">
        <v>4</v>
      </c>
      <c r="AC15" s="2"/>
      <c r="AD15" s="2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4"/>
      <c r="BL15" s="34"/>
      <c r="BM15" s="34"/>
      <c r="BN15" s="34"/>
      <c r="BO15" s="34"/>
      <c r="BP15" s="34"/>
      <c r="BQ15" s="34"/>
      <c r="BR15" s="34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2"/>
      <c r="FK15" s="2"/>
      <c r="FL15" s="2"/>
      <c r="FM15" s="2"/>
    </row>
    <row r="16" spans="1:169" ht="27.95" customHeight="1" x14ac:dyDescent="0.2">
      <c r="A16" s="528">
        <v>1</v>
      </c>
      <c r="B16" s="529" t="s">
        <v>13</v>
      </c>
      <c r="C16" s="530">
        <v>4</v>
      </c>
      <c r="D16" s="531" t="str">
        <f>Rens!$F$4</f>
        <v>Sa</v>
      </c>
      <c r="E16" s="532">
        <f>Rens!$B$7</f>
        <v>0</v>
      </c>
      <c r="F16" s="533">
        <f>Rens!$C$7</f>
        <v>0</v>
      </c>
      <c r="G16" s="832" t="str">
        <f t="shared" ref="G16:G21" si="0" xml:space="preserve"> VLOOKUP(A16,$A$9:$O$12,9)</f>
        <v>POIX--DOUILLARD Alexis</v>
      </c>
      <c r="H16" s="821"/>
      <c r="I16" s="821"/>
      <c r="J16" s="821"/>
      <c r="K16" s="821"/>
      <c r="L16" s="534" t="s">
        <v>9</v>
      </c>
      <c r="M16" s="821">
        <f t="shared" ref="M16:M21" si="1" xml:space="preserve"> VLOOKUP(C16,$A$9:$O$12,9)</f>
        <v>0</v>
      </c>
      <c r="N16" s="821"/>
      <c r="O16" s="821"/>
      <c r="P16" s="821"/>
      <c r="Q16" s="822"/>
      <c r="R16" s="535"/>
      <c r="S16" s="536"/>
      <c r="T16" s="536"/>
      <c r="U16" s="536"/>
      <c r="V16" s="537"/>
      <c r="W16" s="538"/>
      <c r="X16" s="539" t="str">
        <f>IF(AND(COUNTIF(($R16:$V16),"&gt;0")&gt;=2),1,IF(AND(COUNTIF(($R16:$V16),"&lt;0")&gt;=2),0,blanc))</f>
        <v xml:space="preserve"> </v>
      </c>
      <c r="Y16" s="540"/>
      <c r="Z16" s="540"/>
      <c r="AA16" s="541" t="str">
        <f>IF(AND(X16=0),1,IF(AND(X16=1),0,blanc))</f>
        <v xml:space="preserve"> </v>
      </c>
      <c r="AC16" s="2"/>
      <c r="AD16" s="2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>
        <f>BH16</f>
        <v>0</v>
      </c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 t="s">
        <v>41</v>
      </c>
      <c r="CT16" s="35"/>
      <c r="CU16" s="35"/>
      <c r="CV16" s="35"/>
      <c r="CW16" s="35"/>
      <c r="CX16" s="35"/>
      <c r="CY16" s="35"/>
      <c r="CZ16" s="35" t="s">
        <v>42</v>
      </c>
      <c r="DA16" s="35"/>
      <c r="DB16" s="35"/>
      <c r="DC16" s="35"/>
      <c r="DD16" s="35"/>
      <c r="DE16" s="2"/>
      <c r="DF16" s="35"/>
      <c r="DG16" s="35" t="s">
        <v>54</v>
      </c>
      <c r="DH16" s="35"/>
      <c r="DI16" s="35"/>
      <c r="DJ16" s="35"/>
      <c r="DK16" s="35"/>
      <c r="DL16" s="35"/>
      <c r="DM16" s="35"/>
      <c r="DN16" s="35" t="s">
        <v>55</v>
      </c>
      <c r="DO16" s="35"/>
      <c r="DP16" s="35"/>
      <c r="DQ16" s="35"/>
      <c r="DR16" s="35"/>
      <c r="DS16" s="35"/>
      <c r="DT16" s="35"/>
      <c r="DU16" s="35" t="s">
        <v>43</v>
      </c>
      <c r="DV16" s="35"/>
      <c r="DW16" s="35"/>
      <c r="DX16" s="35"/>
      <c r="DY16" s="35"/>
      <c r="DZ16" s="35"/>
      <c r="EA16" s="35"/>
      <c r="EB16" s="35" t="s">
        <v>44</v>
      </c>
      <c r="EC16" s="35"/>
      <c r="ED16" s="35"/>
      <c r="EE16" s="35"/>
      <c r="EF16" s="35"/>
      <c r="EG16" s="35"/>
      <c r="EH16" s="35"/>
      <c r="EI16" s="35" t="s">
        <v>56</v>
      </c>
      <c r="EJ16" s="35"/>
      <c r="EK16" s="35"/>
      <c r="EL16" s="35"/>
      <c r="EM16" s="35"/>
      <c r="EN16" s="35"/>
      <c r="EO16" s="35"/>
      <c r="EP16" s="35" t="s">
        <v>57</v>
      </c>
      <c r="EQ16" s="35"/>
      <c r="ER16" s="35"/>
      <c r="ES16" s="35"/>
      <c r="ET16" s="35"/>
      <c r="EU16" s="35"/>
      <c r="EV16" s="35"/>
      <c r="EW16" s="35" t="s">
        <v>45</v>
      </c>
      <c r="EX16" s="35"/>
      <c r="EY16" s="35"/>
      <c r="EZ16" s="35"/>
      <c r="FA16" s="35"/>
      <c r="FB16" s="35"/>
      <c r="FC16" s="35"/>
      <c r="FD16" s="35" t="s">
        <v>46</v>
      </c>
      <c r="FE16" s="35"/>
      <c r="FF16" s="35"/>
      <c r="FG16" s="35"/>
      <c r="FH16" s="35"/>
      <c r="FI16" s="35"/>
      <c r="FJ16" s="2"/>
      <c r="FK16" s="2"/>
      <c r="FL16" s="2"/>
      <c r="FM16" s="2"/>
    </row>
    <row r="17" spans="1:169" ht="27.95" customHeight="1" thickBot="1" x14ac:dyDescent="0.25">
      <c r="A17" s="542">
        <v>2</v>
      </c>
      <c r="B17" s="543" t="s">
        <v>13</v>
      </c>
      <c r="C17" s="544">
        <v>3</v>
      </c>
      <c r="D17" s="545"/>
      <c r="E17" s="546">
        <f>E16+0.021</f>
        <v>2.1000000000000001E-2</v>
      </c>
      <c r="F17" s="547">
        <f>F16</f>
        <v>0</v>
      </c>
      <c r="G17" s="817" t="str">
        <f t="shared" si="0"/>
        <v>Bourneuf Tom</v>
      </c>
      <c r="H17" s="818"/>
      <c r="I17" s="818"/>
      <c r="J17" s="818"/>
      <c r="K17" s="818"/>
      <c r="L17" s="548" t="s">
        <v>9</v>
      </c>
      <c r="M17" s="818" t="str">
        <f t="shared" si="1"/>
        <v>BEAUDRON Mathias</v>
      </c>
      <c r="N17" s="818"/>
      <c r="O17" s="818"/>
      <c r="P17" s="818"/>
      <c r="Q17" s="823"/>
      <c r="R17" s="549"/>
      <c r="S17" s="550"/>
      <c r="T17" s="550"/>
      <c r="U17" s="551"/>
      <c r="V17" s="552"/>
      <c r="W17" s="538"/>
      <c r="X17" s="553"/>
      <c r="Y17" s="554" t="str">
        <f>IF(AND(COUNTIF(($R17:$V17),"&gt;0")&gt;=2),1,IF(AND(COUNTIF(($R17:$V17),"&lt;0")&gt;=2),0,blanc))</f>
        <v xml:space="preserve"> </v>
      </c>
      <c r="Z17" s="554" t="str">
        <f>IF(AND(Y17=0),1,IF(AND(Y17=1),0,blanc))</f>
        <v xml:space="preserve"> </v>
      </c>
      <c r="AA17" s="555"/>
      <c r="AC17" s="2"/>
      <c r="AD17" s="2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 t="s">
        <v>33</v>
      </c>
      <c r="BV17" s="35" t="s">
        <v>5</v>
      </c>
      <c r="BW17" s="35" t="s">
        <v>35</v>
      </c>
      <c r="BX17" s="35"/>
      <c r="BY17" s="35" t="s">
        <v>36</v>
      </c>
      <c r="BZ17" s="35"/>
      <c r="CA17" s="35" t="s">
        <v>61</v>
      </c>
      <c r="CB17" s="35"/>
      <c r="CC17" s="35"/>
      <c r="CD17" s="35"/>
      <c r="CE17" s="35"/>
      <c r="CF17" s="51" t="s">
        <v>52</v>
      </c>
      <c r="CG17" s="51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52" t="s">
        <v>33</v>
      </c>
      <c r="CT17" s="34" t="s">
        <v>35</v>
      </c>
      <c r="CU17" s="34" t="s">
        <v>36</v>
      </c>
      <c r="CV17" s="34" t="s">
        <v>61</v>
      </c>
      <c r="CW17" s="34"/>
      <c r="CX17" s="60"/>
      <c r="CY17" s="35"/>
      <c r="CZ17" s="52" t="s">
        <v>33</v>
      </c>
      <c r="DA17" s="34" t="s">
        <v>35</v>
      </c>
      <c r="DB17" s="34" t="s">
        <v>36</v>
      </c>
      <c r="DC17" s="34" t="s">
        <v>61</v>
      </c>
      <c r="DD17" s="34"/>
      <c r="DE17" s="2"/>
      <c r="DF17" s="35"/>
      <c r="DG17" s="52" t="s">
        <v>33</v>
      </c>
      <c r="DH17" s="34" t="s">
        <v>35</v>
      </c>
      <c r="DI17" s="34" t="s">
        <v>36</v>
      </c>
      <c r="DJ17" s="34" t="s">
        <v>61</v>
      </c>
      <c r="DK17" s="34"/>
      <c r="DL17" s="60"/>
      <c r="DM17" s="35"/>
      <c r="DN17" s="52" t="s">
        <v>33</v>
      </c>
      <c r="DO17" s="34" t="s">
        <v>35</v>
      </c>
      <c r="DP17" s="34" t="s">
        <v>36</v>
      </c>
      <c r="DQ17" s="34" t="s">
        <v>61</v>
      </c>
      <c r="DR17" s="34"/>
      <c r="DS17" s="59"/>
      <c r="DT17" s="2"/>
      <c r="DU17" s="52" t="s">
        <v>33</v>
      </c>
      <c r="DV17" s="34" t="s">
        <v>35</v>
      </c>
      <c r="DW17" s="34" t="s">
        <v>36</v>
      </c>
      <c r="DX17" s="34" t="s">
        <v>61</v>
      </c>
      <c r="DY17" s="34"/>
      <c r="DZ17" s="59"/>
      <c r="EA17" s="2"/>
      <c r="EB17" s="52" t="s">
        <v>33</v>
      </c>
      <c r="EC17" s="34" t="s">
        <v>35</v>
      </c>
      <c r="ED17" s="34" t="s">
        <v>36</v>
      </c>
      <c r="EE17" s="34" t="s">
        <v>61</v>
      </c>
      <c r="EF17" s="34"/>
      <c r="EG17" s="60"/>
      <c r="EH17" s="2"/>
      <c r="EI17" s="52" t="s">
        <v>33</v>
      </c>
      <c r="EJ17" s="34" t="s">
        <v>35</v>
      </c>
      <c r="EK17" s="34" t="s">
        <v>36</v>
      </c>
      <c r="EL17" s="34" t="s">
        <v>61</v>
      </c>
      <c r="EM17" s="34"/>
      <c r="EN17" s="60"/>
      <c r="EO17" s="2"/>
      <c r="EP17" s="52" t="s">
        <v>33</v>
      </c>
      <c r="EQ17" s="34" t="s">
        <v>35</v>
      </c>
      <c r="ER17" s="34" t="s">
        <v>36</v>
      </c>
      <c r="ES17" s="34" t="s">
        <v>61</v>
      </c>
      <c r="ET17" s="34"/>
      <c r="EU17" s="34"/>
      <c r="EV17" s="2"/>
      <c r="EW17" s="52" t="s">
        <v>33</v>
      </c>
      <c r="EX17" s="34" t="s">
        <v>35</v>
      </c>
      <c r="EY17" s="34" t="s">
        <v>36</v>
      </c>
      <c r="EZ17" s="34" t="s">
        <v>61</v>
      </c>
      <c r="FA17" s="34"/>
      <c r="FB17" s="34"/>
      <c r="FC17" s="2"/>
      <c r="FD17" s="52" t="s">
        <v>33</v>
      </c>
      <c r="FE17" s="34" t="s">
        <v>35</v>
      </c>
      <c r="FF17" s="34" t="s">
        <v>36</v>
      </c>
      <c r="FG17" s="34" t="s">
        <v>61</v>
      </c>
      <c r="FH17" s="34"/>
      <c r="FI17" s="60"/>
      <c r="FJ17" s="2"/>
      <c r="FK17" s="2"/>
      <c r="FL17" s="2"/>
      <c r="FM17" s="2"/>
    </row>
    <row r="18" spans="1:169" ht="27.95" customHeight="1" thickTop="1" x14ac:dyDescent="0.2">
      <c r="A18" s="542">
        <v>1</v>
      </c>
      <c r="B18" s="543" t="s">
        <v>13</v>
      </c>
      <c r="C18" s="544">
        <v>3</v>
      </c>
      <c r="D18" s="545" t="str">
        <f>D16</f>
        <v>Sa</v>
      </c>
      <c r="E18" s="546">
        <f>E17+0.021</f>
        <v>4.2000000000000003E-2</v>
      </c>
      <c r="F18" s="547">
        <f>F16</f>
        <v>0</v>
      </c>
      <c r="G18" s="817" t="str">
        <f t="shared" si="0"/>
        <v>POIX--DOUILLARD Alexis</v>
      </c>
      <c r="H18" s="818"/>
      <c r="I18" s="818"/>
      <c r="J18" s="818"/>
      <c r="K18" s="818"/>
      <c r="L18" s="548" t="s">
        <v>9</v>
      </c>
      <c r="M18" s="818" t="str">
        <f t="shared" si="1"/>
        <v>BEAUDRON Mathias</v>
      </c>
      <c r="N18" s="818"/>
      <c r="O18" s="818"/>
      <c r="P18" s="818"/>
      <c r="Q18" s="823"/>
      <c r="R18" s="556"/>
      <c r="S18" s="551"/>
      <c r="T18" s="551"/>
      <c r="U18" s="551"/>
      <c r="V18" s="552"/>
      <c r="W18" s="538"/>
      <c r="X18" s="557" t="str">
        <f>IF(AND(COUNTIF(($R18:$V18),"&gt;0")&gt;=2),1,IF(AND(COUNTIF(($R18:$V18),"&lt;0")&gt;=2),0,blanc))</f>
        <v xml:space="preserve"> </v>
      </c>
      <c r="Y18" s="558"/>
      <c r="Z18" s="554" t="str">
        <f>IF(AND(X18=0),1,IF(AND(X18=1),0,blanc))</f>
        <v xml:space="preserve"> </v>
      </c>
      <c r="AA18" s="555"/>
      <c r="AC18" s="68" t="s">
        <v>37</v>
      </c>
      <c r="AD18" s="63" t="str">
        <f>AI7</f>
        <v>IG1</v>
      </c>
      <c r="AE18" s="43"/>
      <c r="AF18" s="69" t="s">
        <v>64</v>
      </c>
      <c r="AG18" s="42"/>
      <c r="AH18" s="69" t="s">
        <v>65</v>
      </c>
      <c r="AI18" s="42"/>
      <c r="AJ18" s="69" t="s">
        <v>66</v>
      </c>
      <c r="AK18" s="42"/>
      <c r="AL18" s="69" t="s">
        <v>67</v>
      </c>
      <c r="AM18" s="70"/>
      <c r="AN18" s="69" t="s">
        <v>68</v>
      </c>
      <c r="AO18" s="71"/>
      <c r="AP18" s="72" t="s">
        <v>38</v>
      </c>
      <c r="AQ18" s="73"/>
      <c r="AR18" s="73"/>
      <c r="AS18" s="73"/>
      <c r="AT18" s="74"/>
      <c r="AU18" s="75"/>
      <c r="AV18" s="4"/>
      <c r="AW18" s="4"/>
      <c r="AX18" s="4"/>
      <c r="AY18" s="76" t="s">
        <v>38</v>
      </c>
      <c r="AZ18" s="43"/>
      <c r="BA18" s="43"/>
      <c r="BB18" s="43"/>
      <c r="BC18" s="44" t="s">
        <v>69</v>
      </c>
      <c r="BD18" s="43"/>
      <c r="BE18" s="43"/>
      <c r="BF18" s="43"/>
      <c r="BG18" s="43"/>
      <c r="BH18" s="43"/>
      <c r="BI18" s="43"/>
      <c r="BJ18" s="43"/>
      <c r="BK18" s="43"/>
      <c r="BL18" s="44" t="s">
        <v>39</v>
      </c>
      <c r="BM18" s="44" t="s">
        <v>40</v>
      </c>
      <c r="BN18" s="44"/>
      <c r="BO18" s="45"/>
      <c r="BQ18" s="1"/>
      <c r="BR18" s="62"/>
      <c r="BS18" s="31" t="str">
        <f>AE9</f>
        <v>A</v>
      </c>
      <c r="BT18" s="77"/>
      <c r="BU18" s="77"/>
      <c r="BV18" s="31" t="str">
        <f>BH24</f>
        <v>M</v>
      </c>
      <c r="BW18" s="31" t="e">
        <f>BL24</f>
        <v>#VALUE!</v>
      </c>
      <c r="BX18" s="31" t="str">
        <f>BH22</f>
        <v>M</v>
      </c>
      <c r="BY18" s="31" t="e">
        <f>BL22</f>
        <v>#VALUE!</v>
      </c>
      <c r="BZ18" s="31" t="str">
        <f>BH20</f>
        <v>M</v>
      </c>
      <c r="CA18" s="56" t="e">
        <f>BL20</f>
        <v>#VALUE!</v>
      </c>
      <c r="CB18" s="62"/>
      <c r="CC18" s="62"/>
      <c r="CD18" s="61"/>
      <c r="CE18" s="61"/>
      <c r="CF18" s="59" t="e">
        <f>SUM(CH18:CL18)</f>
        <v>#VALUE!</v>
      </c>
      <c r="CG18" s="34" t="e">
        <f>SUM(CM18:CQ18)</f>
        <v>#VALUE!</v>
      </c>
      <c r="CH18" s="31" t="e">
        <f>IF(BV18&gt;BW18,1,0)</f>
        <v>#VALUE!</v>
      </c>
      <c r="CI18" s="31" t="e">
        <f>IF(BX18&gt;BY18,1,0)</f>
        <v>#VALUE!</v>
      </c>
      <c r="CJ18" s="31" t="e">
        <f>IF(BZ18&gt;CA18,1,0)</f>
        <v>#VALUE!</v>
      </c>
      <c r="CK18" s="31">
        <f>IF(CB18&gt;CC18,1,0)</f>
        <v>0</v>
      </c>
      <c r="CL18" s="31">
        <f>IF(CD18&gt;CE18,1,0)</f>
        <v>0</v>
      </c>
      <c r="CM18" s="78" t="e">
        <f>IF(BV18&lt;BW18,1,0)</f>
        <v>#VALUE!</v>
      </c>
      <c r="CN18" s="31" t="e">
        <f>IF(BX18&lt;BY18,1,0)</f>
        <v>#VALUE!</v>
      </c>
      <c r="CO18" s="31" t="e">
        <f>IF(BZ18&lt;CA18,1,0)</f>
        <v>#VALUE!</v>
      </c>
      <c r="CP18" s="31">
        <f>IF(CB18&lt;CC18,1,0)</f>
        <v>0</v>
      </c>
      <c r="CQ18" s="31">
        <f>IF(CD18&lt;CE18,1,0)</f>
        <v>0</v>
      </c>
      <c r="CR18" s="31" t="s">
        <v>33</v>
      </c>
      <c r="CS18" s="54" t="s">
        <v>53</v>
      </c>
      <c r="CT18" s="33" t="e">
        <f>IF(CF18=CF19,AY24,"xxx")</f>
        <v>#VALUE!</v>
      </c>
      <c r="CU18" s="33" t="e">
        <f>IF(CF18=CF20,AY22,"xxx")</f>
        <v>#VALUE!</v>
      </c>
      <c r="CV18" s="33" t="e">
        <f>IF(CF18=CF21,AY20,"xxx")</f>
        <v>#VALUE!</v>
      </c>
      <c r="CW18" s="48"/>
      <c r="CX18" s="59" t="e">
        <f>SUM(CS18:CW18)</f>
        <v>#VALUE!</v>
      </c>
      <c r="CY18" s="31" t="s">
        <v>33</v>
      </c>
      <c r="CZ18" s="54" t="s">
        <v>53</v>
      </c>
      <c r="DA18" s="33" t="e">
        <f>IF(CF18=CF19,AZ24,"xxx")</f>
        <v>#VALUE!</v>
      </c>
      <c r="DB18" s="33" t="e">
        <f>IF(CF18=CF20,BA22,"xxx")</f>
        <v>#VALUE!</v>
      </c>
      <c r="DC18" s="33" t="e">
        <f>IF(CF18=CF21,BB20,"xxx")</f>
        <v>#VALUE!</v>
      </c>
      <c r="DD18" s="48"/>
      <c r="DE18" s="59" t="e">
        <f>SUM(CZ18:DD18)</f>
        <v>#VALUE!</v>
      </c>
      <c r="DF18" s="31" t="s">
        <v>33</v>
      </c>
      <c r="DG18" s="54" t="s">
        <v>53</v>
      </c>
      <c r="DH18" s="33" t="e">
        <f>IF(AND(BA9&lt;&gt;0,AY9=AY10),IF(BA9=BA10,AY24,"xxx"),"xxx")</f>
        <v>#VALUE!</v>
      </c>
      <c r="DI18" s="33" t="e">
        <f>IF(AND(BA9&lt;&gt;0,AY9=AY11),IF(BA9=BA11,AY22,"xxx"),"xxx")</f>
        <v>#VALUE!</v>
      </c>
      <c r="DJ18" s="33" t="e">
        <f>IF(AND(BA9&lt;&gt;0,AY9=AY12),IF(BA9=BA12,AY20,"xxx"),"xxx")</f>
        <v>#VALUE!</v>
      </c>
      <c r="DK18" s="48"/>
      <c r="DL18" s="59" t="e">
        <f>SUM(DG18:DK18)</f>
        <v>#VALUE!</v>
      </c>
      <c r="DM18" s="31" t="s">
        <v>33</v>
      </c>
      <c r="DN18" s="54" t="s">
        <v>53</v>
      </c>
      <c r="DO18" s="33" t="e">
        <f>IF(AND(BA9&lt;&gt;0,AY9=AY10),IF(BA9=BA10,AZ24,"xxx"),"xxx")</f>
        <v>#VALUE!</v>
      </c>
      <c r="DP18" s="33" t="e">
        <f>IF(AND(BA9&lt;&gt;0,AY9=AY11),IF(BA9=BA11,BA22,"xxx"),"xxx")</f>
        <v>#VALUE!</v>
      </c>
      <c r="DQ18" s="33" t="e">
        <f>IF(AND(BA9&lt;&gt;0,AY9=AY12),IF(BA9=BA12,BB20,"xxx"),"xxx")</f>
        <v>#VALUE!</v>
      </c>
      <c r="DR18" s="48"/>
      <c r="DS18" s="59" t="e">
        <f>SUM(DN18:DR18)</f>
        <v>#VALUE!</v>
      </c>
      <c r="DT18" s="31" t="s">
        <v>33</v>
      </c>
      <c r="DU18" s="54" t="s">
        <v>53</v>
      </c>
      <c r="DV18" s="33" t="e">
        <f>IF(AND(CF18=CF19,BA9=BA10),BH24,"kkk")</f>
        <v>#VALUE!</v>
      </c>
      <c r="DW18" s="33" t="e">
        <f>IF(AND(CF18=CF20,BA9=BA11),BH22,"kkk")</f>
        <v>#VALUE!</v>
      </c>
      <c r="DX18" s="33" t="e">
        <f>IF(AND(CF18=CF21,BA9=BA12),BH20,"kkk")</f>
        <v>#VALUE!</v>
      </c>
      <c r="DY18" s="48"/>
      <c r="DZ18" s="59" t="e">
        <f>SUM(DU18:DY18)</f>
        <v>#VALUE!</v>
      </c>
      <c r="EA18" s="31" t="s">
        <v>33</v>
      </c>
      <c r="EB18" s="54" t="s">
        <v>53</v>
      </c>
      <c r="EC18" s="33" t="e">
        <f>IF(AND(CF18=CF19,BA9=BA10),BL24,"kkk")</f>
        <v>#VALUE!</v>
      </c>
      <c r="ED18" s="33" t="e">
        <f>IF(AND(CF18=CF20,BA9=BA11),BL22,"kkk")</f>
        <v>#VALUE!</v>
      </c>
      <c r="EE18" s="33" t="e">
        <f>IF(AND(CF18=CF21,BA9=BA12),BL20,"kkk")</f>
        <v>#VALUE!</v>
      </c>
      <c r="EF18" s="48"/>
      <c r="EG18" s="59" t="e">
        <f>SUM(EB18:EF18)</f>
        <v>#VALUE!</v>
      </c>
      <c r="EH18" s="31" t="s">
        <v>33</v>
      </c>
      <c r="EI18" s="54" t="s">
        <v>53</v>
      </c>
      <c r="EJ18" s="33" t="e">
        <f>IF(BD9&lt;&gt;"ùùù",IF(AND(CF18=CF19,BD9=BD10),BH24,"kkk"),"kkk")</f>
        <v>#VALUE!</v>
      </c>
      <c r="EK18" s="33" t="e">
        <f>IF(BD9&lt;&gt;"ùùù",IF(AND(CF18=CF20,BD9=BD11),BH22,"kkk"),"kkk")</f>
        <v>#VALUE!</v>
      </c>
      <c r="EL18" s="33" t="e">
        <f>IF(BD9&lt;&gt;"ùùù",IF(AND(CF18=CF21,BD9=BD12),BH20,"kkk"),"kkk")</f>
        <v>#VALUE!</v>
      </c>
      <c r="EM18" s="48"/>
      <c r="EN18" s="59" t="e">
        <f>SUM(EI18:EM18)</f>
        <v>#VALUE!</v>
      </c>
      <c r="EO18" s="31" t="s">
        <v>33</v>
      </c>
      <c r="EP18" s="54" t="s">
        <v>53</v>
      </c>
      <c r="EQ18" s="33" t="e">
        <f>IF(BD9&lt;&gt;"ùùù",IF(AND(CF18=CF19,BD9=BD10),BL24,"kkk"),"kkk")</f>
        <v>#VALUE!</v>
      </c>
      <c r="ER18" s="33" t="e">
        <f>IF(BD9&lt;&gt;"ùùù",IF(AND(CF18=CF20,BD9=BD11),BL22,"kkk"),"kkk")</f>
        <v>#VALUE!</v>
      </c>
      <c r="ES18" s="33" t="e">
        <f>IF(BD9&lt;&gt;"ùùù",IF(AND(CF18=CF21,BD9=BD12),BL20,"kkk"),"kkk")</f>
        <v>#VALUE!</v>
      </c>
      <c r="ET18" s="48"/>
      <c r="EU18" s="59" t="e">
        <f>SUM(EP18:ET18)</f>
        <v>#VALUE!</v>
      </c>
      <c r="EV18" s="31" t="s">
        <v>33</v>
      </c>
      <c r="EW18" s="54" t="s">
        <v>53</v>
      </c>
      <c r="EX18" s="33" t="e">
        <f>IF(AND(CF18=CF19,BC9=BC10),+AF24+AH24+AJ24+AL24+AN24,"xxx")</f>
        <v>#VALUE!</v>
      </c>
      <c r="EY18" s="33" t="e">
        <f>IF(AND(CF18=CF20,BC9=BC11),+AF22+AH22+AJ22+AL22+AN22,"xxx")</f>
        <v>#VALUE!</v>
      </c>
      <c r="EZ18" s="33" t="e">
        <f>IF(AND(CF18=CF21,BC9=BC12),+AF20+AH20+AJ20+AL20+AN20,"xxx")</f>
        <v>#VALUE!</v>
      </c>
      <c r="FA18" s="48"/>
      <c r="FB18" s="59" t="e">
        <f>SUM(EW18:FA18)</f>
        <v>#VALUE!</v>
      </c>
      <c r="FC18" s="31" t="s">
        <v>33</v>
      </c>
      <c r="FD18" s="54" t="s">
        <v>53</v>
      </c>
      <c r="FE18" s="33" t="e">
        <f>IF(AND(CF18=CF19,BC9=BC10),+AG24+AI24+AK24+AM24+AO24,"xxx")</f>
        <v>#VALUE!</v>
      </c>
      <c r="FF18" s="33" t="e">
        <f>IF(AND(CF18=CF20,BC9=BC11),+AG22+AI22+AK22+AM22+AO22,"xxx")</f>
        <v>#VALUE!</v>
      </c>
      <c r="FG18" s="33" t="e">
        <f>IF(AND(CF18=CF21,BC9=BC12),+AG20+AI20+AK20+AM20+AO20,"xxx")</f>
        <v>#VALUE!</v>
      </c>
      <c r="FH18" s="48"/>
      <c r="FI18" s="59" t="e">
        <f>SUM(FD18:FH18)</f>
        <v>#VALUE!</v>
      </c>
      <c r="FJ18" s="4"/>
      <c r="FK18" s="4"/>
      <c r="FL18" s="4"/>
      <c r="FM18" s="4"/>
    </row>
    <row r="19" spans="1:169" ht="27.95" customHeight="1" x14ac:dyDescent="0.2">
      <c r="A19" s="542">
        <v>2</v>
      </c>
      <c r="B19" s="543" t="s">
        <v>13</v>
      </c>
      <c r="C19" s="544">
        <v>4</v>
      </c>
      <c r="D19" s="545"/>
      <c r="E19" s="546">
        <f>E18+0.021</f>
        <v>6.3E-2</v>
      </c>
      <c r="F19" s="547">
        <f>F16</f>
        <v>0</v>
      </c>
      <c r="G19" s="817" t="str">
        <f t="shared" si="0"/>
        <v>Bourneuf Tom</v>
      </c>
      <c r="H19" s="818"/>
      <c r="I19" s="818"/>
      <c r="J19" s="818"/>
      <c r="K19" s="818"/>
      <c r="L19" s="548" t="s">
        <v>9</v>
      </c>
      <c r="M19" s="818">
        <f t="shared" si="1"/>
        <v>0</v>
      </c>
      <c r="N19" s="818"/>
      <c r="O19" s="818"/>
      <c r="P19" s="818"/>
      <c r="Q19" s="823"/>
      <c r="R19" s="556"/>
      <c r="S19" s="551"/>
      <c r="T19" s="551"/>
      <c r="U19" s="551"/>
      <c r="V19" s="552"/>
      <c r="W19" s="538"/>
      <c r="X19" s="553"/>
      <c r="Y19" s="554" t="str">
        <f>IF(AND(COUNTIF(($R19:$V19),"&gt;0")&gt;=2),1,IF(AND(COUNTIF(($R19:$V19),"&lt;0")&gt;=2),0,blanc))</f>
        <v xml:space="preserve"> </v>
      </c>
      <c r="Z19" s="558"/>
      <c r="AA19" s="559" t="str">
        <f>IF(AND(Y19=0),1,IF(AND(Y19=1),0,blanc))</f>
        <v xml:space="preserve"> </v>
      </c>
      <c r="AC19" s="847" t="s">
        <v>47</v>
      </c>
      <c r="AD19" s="848"/>
      <c r="AE19" s="199" t="s">
        <v>48</v>
      </c>
      <c r="AF19" s="200" t="s">
        <v>49</v>
      </c>
      <c r="AG19" s="39" t="s">
        <v>50</v>
      </c>
      <c r="AH19" s="39" t="s">
        <v>49</v>
      </c>
      <c r="AI19" s="39" t="s">
        <v>50</v>
      </c>
      <c r="AJ19" s="39" t="s">
        <v>49</v>
      </c>
      <c r="AK19" s="39" t="s">
        <v>50</v>
      </c>
      <c r="AL19" s="39" t="s">
        <v>49</v>
      </c>
      <c r="AM19" s="39" t="s">
        <v>50</v>
      </c>
      <c r="AN19" s="39" t="s">
        <v>49</v>
      </c>
      <c r="AO19" s="201" t="s">
        <v>50</v>
      </c>
      <c r="AP19" s="49" t="s">
        <v>33</v>
      </c>
      <c r="AQ19" s="33" t="s">
        <v>35</v>
      </c>
      <c r="AR19" s="33" t="s">
        <v>36</v>
      </c>
      <c r="AS19" s="33" t="s">
        <v>61</v>
      </c>
      <c r="AT19" s="79"/>
      <c r="AU19" s="60"/>
      <c r="AV19" s="67"/>
      <c r="AW19" s="67"/>
      <c r="AX19" s="67"/>
      <c r="AY19" s="80" t="s">
        <v>33</v>
      </c>
      <c r="AZ19" s="33" t="s">
        <v>35</v>
      </c>
      <c r="BA19" s="33" t="s">
        <v>36</v>
      </c>
      <c r="BB19" s="33" t="s">
        <v>61</v>
      </c>
      <c r="BC19" s="33">
        <v>1</v>
      </c>
      <c r="BD19" s="33">
        <v>2</v>
      </c>
      <c r="BE19" s="33">
        <v>3</v>
      </c>
      <c r="BF19" s="33">
        <v>4</v>
      </c>
      <c r="BG19" s="33">
        <v>5</v>
      </c>
      <c r="BH19" s="33" t="s">
        <v>40</v>
      </c>
      <c r="BI19" s="33" t="s">
        <v>51</v>
      </c>
      <c r="BJ19" s="33"/>
      <c r="BK19" s="33"/>
      <c r="BL19" s="33" t="s">
        <v>70</v>
      </c>
      <c r="BM19" s="33" t="s">
        <v>40</v>
      </c>
      <c r="BN19" s="33"/>
      <c r="BO19" s="50"/>
      <c r="BQ19" s="1"/>
      <c r="BR19" s="62"/>
      <c r="BS19" s="31" t="str">
        <f t="shared" ref="BS19:BS26" si="2">AE10</f>
        <v>B</v>
      </c>
      <c r="BT19" s="31" t="e">
        <f>BW18</f>
        <v>#VALUE!</v>
      </c>
      <c r="BU19" s="31" t="str">
        <f>BV18</f>
        <v>M</v>
      </c>
      <c r="BV19" s="77"/>
      <c r="BW19" s="77"/>
      <c r="BX19" s="31" t="str">
        <f>BH21</f>
        <v>M</v>
      </c>
      <c r="BY19" s="31" t="e">
        <f>BL21</f>
        <v>#VALUE!</v>
      </c>
      <c r="BZ19" s="31" t="str">
        <f>BH23</f>
        <v>M</v>
      </c>
      <c r="CA19" s="56" t="e">
        <f>BL23</f>
        <v>#VALUE!</v>
      </c>
      <c r="CB19" s="62"/>
      <c r="CC19" s="62"/>
      <c r="CD19" s="61"/>
      <c r="CE19" s="61"/>
      <c r="CF19" s="59" t="e">
        <f t="shared" ref="CF19:CF24" si="3">SUM(CH19:CL19)</f>
        <v>#VALUE!</v>
      </c>
      <c r="CG19" s="34" t="e">
        <f t="shared" ref="CG19:CG24" si="4">SUM(CM19:CQ19)</f>
        <v>#VALUE!</v>
      </c>
      <c r="CH19" s="31" t="e">
        <f>IF(BT19&gt;BU19,1,0)</f>
        <v>#VALUE!</v>
      </c>
      <c r="CI19" s="31" t="e">
        <f>IF(BX19&gt;BY19,1,0)</f>
        <v>#VALUE!</v>
      </c>
      <c r="CJ19" s="31" t="e">
        <f>IF(BZ19&gt;CA19,1,0)</f>
        <v>#VALUE!</v>
      </c>
      <c r="CK19" s="31">
        <f>IF(CB19&gt;CC19,1,0)</f>
        <v>0</v>
      </c>
      <c r="CL19" s="31">
        <f>IF(CD19&gt;CE19,1,0)</f>
        <v>0</v>
      </c>
      <c r="CM19" s="78" t="e">
        <f>IF(BT19&lt;BU19,1,0)</f>
        <v>#VALUE!</v>
      </c>
      <c r="CN19" s="31" t="e">
        <f>IF(BX19&lt;BY19,1,0)</f>
        <v>#VALUE!</v>
      </c>
      <c r="CO19" s="31" t="e">
        <f>IF(BZ19&lt;CA19,1,0)</f>
        <v>#VALUE!</v>
      </c>
      <c r="CP19" s="31">
        <f>IF(CB19&lt;CC19,1,0)</f>
        <v>0</v>
      </c>
      <c r="CQ19" s="31">
        <f>IF(CD19&lt;CE19,1,0)</f>
        <v>0</v>
      </c>
      <c r="CR19" s="31" t="s">
        <v>35</v>
      </c>
      <c r="CS19" s="33" t="e">
        <f>IF(CF19=CF18,AZ24,"xxx")</f>
        <v>#VALUE!</v>
      </c>
      <c r="CT19" s="54" t="s">
        <v>53</v>
      </c>
      <c r="CU19" s="33" t="e">
        <f>IF(CF19=CF20,AZ21,"xxx")</f>
        <v>#VALUE!</v>
      </c>
      <c r="CV19" s="33" t="e">
        <f>IF(CF19=CF21,AZ23,"xxx")</f>
        <v>#VALUE!</v>
      </c>
      <c r="CW19" s="48"/>
      <c r="CX19" s="59" t="e">
        <f>SUM(CS19:CW19)</f>
        <v>#VALUE!</v>
      </c>
      <c r="CY19" s="31" t="s">
        <v>35</v>
      </c>
      <c r="CZ19" s="33" t="e">
        <f>IF(CF19=CF18,AY24,"xxx")</f>
        <v>#VALUE!</v>
      </c>
      <c r="DA19" s="54" t="s">
        <v>53</v>
      </c>
      <c r="DB19" s="33" t="e">
        <f>IF(CF19=CF20,BA21,"xxx")</f>
        <v>#VALUE!</v>
      </c>
      <c r="DC19" s="33" t="e">
        <f>IF(CF19=CF21,BB23,"xxx")</f>
        <v>#VALUE!</v>
      </c>
      <c r="DD19" s="48"/>
      <c r="DE19" s="59" t="e">
        <f>SUM(CZ19:DD19)</f>
        <v>#VALUE!</v>
      </c>
      <c r="DF19" s="31" t="s">
        <v>35</v>
      </c>
      <c r="DG19" s="33" t="e">
        <f>IF(AND(BA10&lt;&gt;0,AY10=AY9),IF(BA10=BA9,AZ24,"xxx"),"xxx")</f>
        <v>#VALUE!</v>
      </c>
      <c r="DH19" s="54" t="s">
        <v>53</v>
      </c>
      <c r="DI19" s="33" t="e">
        <f>IF(AND(BA10&lt;&gt;0,AY10=AY11),IF(BA10=BA11,AZ21,"xxx"),"xxx")</f>
        <v>#VALUE!</v>
      </c>
      <c r="DJ19" s="33" t="e">
        <f>IF(AND(BA10&lt;&gt;0,AY10=AY12),IF(BA10=BA12,AZ23,"xxx"),"xxx")</f>
        <v>#VALUE!</v>
      </c>
      <c r="DK19" s="48"/>
      <c r="DL19" s="59" t="e">
        <f>SUM(DG19:DK19)</f>
        <v>#VALUE!</v>
      </c>
      <c r="DM19" s="31" t="s">
        <v>35</v>
      </c>
      <c r="DN19" s="33" t="e">
        <f>IF(AND(BA10&lt;&gt;0,AY10=AY9),IF(BA10=BA9,AY24,"xxx"),"xxx")</f>
        <v>#VALUE!</v>
      </c>
      <c r="DO19" s="54" t="s">
        <v>53</v>
      </c>
      <c r="DP19" s="33" t="e">
        <f>IF(AND(BA10&lt;&gt;0,AY10=AY11),IF(BA10=BA11,BA21,"xxx"),"xxx")</f>
        <v>#VALUE!</v>
      </c>
      <c r="DQ19" s="33" t="e">
        <f>IF(AND(BA10&lt;&gt;0,AY10=AY12),IF(BA10=BA12,BB23,"xxx"),"xxx")</f>
        <v>#VALUE!</v>
      </c>
      <c r="DR19" s="48"/>
      <c r="DS19" s="59" t="e">
        <f>SUM(DN19:DR19)</f>
        <v>#VALUE!</v>
      </c>
      <c r="DT19" s="31" t="s">
        <v>35</v>
      </c>
      <c r="DU19" s="33" t="e">
        <f>IF(AND(CF19=CF18,BA10=BA9),BL24,"kkk")</f>
        <v>#VALUE!</v>
      </c>
      <c r="DV19" s="54" t="s">
        <v>53</v>
      </c>
      <c r="DW19" s="33" t="e">
        <f>IF(AND(CF19=CF20,BA10=BA11),BH21,"kkk")</f>
        <v>#VALUE!</v>
      </c>
      <c r="DX19" s="33" t="e">
        <f>IF(AND(CF19=CF21,BA10=BA12),BH23,"kkk")</f>
        <v>#VALUE!</v>
      </c>
      <c r="DY19" s="48"/>
      <c r="DZ19" s="59" t="e">
        <f>SUM(DU19:DY19)</f>
        <v>#VALUE!</v>
      </c>
      <c r="EA19" s="31" t="s">
        <v>35</v>
      </c>
      <c r="EB19" s="33" t="e">
        <f>IF(AND(CF19=CF18,BA10=BA9),BH24,"kkk")</f>
        <v>#VALUE!</v>
      </c>
      <c r="EC19" s="54" t="s">
        <v>53</v>
      </c>
      <c r="ED19" s="33" t="e">
        <f>IF(AND(CF19=CF20,BA10=BA11),BL21,"kkk")</f>
        <v>#VALUE!</v>
      </c>
      <c r="EE19" s="33" t="e">
        <f>IF(AND(CF19=CF21,BA10=BA12),BL23,"kkk")</f>
        <v>#VALUE!</v>
      </c>
      <c r="EF19" s="48"/>
      <c r="EG19" s="59" t="e">
        <f>SUM(EB19:EF19)</f>
        <v>#VALUE!</v>
      </c>
      <c r="EH19" s="31" t="s">
        <v>35</v>
      </c>
      <c r="EI19" s="33" t="e">
        <f>IF(BD10&lt;&gt;"ùùù",IF(AND(CF19=CF18,BD10=BD9),BL24,"kkk"),"kkk")</f>
        <v>#VALUE!</v>
      </c>
      <c r="EJ19" s="54" t="s">
        <v>53</v>
      </c>
      <c r="EK19" s="33" t="e">
        <f>IF(BD10&lt;&gt;"ùùù",IF(AND(CF19=CF20,BD10=BD11),BH21,"kkk"),"kkk")</f>
        <v>#VALUE!</v>
      </c>
      <c r="EL19" s="33" t="e">
        <f>IF(BD10&lt;&gt;"ùùù",IF(AND(CF19=CF21,BD10=BD12),BH23,"kkk"),"kkk")</f>
        <v>#VALUE!</v>
      </c>
      <c r="EM19" s="48"/>
      <c r="EN19" s="59" t="e">
        <f>SUM(EI19:EM19)</f>
        <v>#VALUE!</v>
      </c>
      <c r="EO19" s="31" t="s">
        <v>35</v>
      </c>
      <c r="EP19" s="33" t="e">
        <f>IF(BD10&lt;&gt;"ùùù",IF(AND(CF19=CF18,BD10=BD9),BH24,"kkk"),"kkk")</f>
        <v>#VALUE!</v>
      </c>
      <c r="EQ19" s="54" t="s">
        <v>53</v>
      </c>
      <c r="ER19" s="33" t="e">
        <f>IF(BD10&lt;&gt;"ùùù",IF(AND(CF19=CF20,BD10=BD11),BL21,"kkk"),"kkk")</f>
        <v>#VALUE!</v>
      </c>
      <c r="ES19" s="33" t="e">
        <f>IF(BD10&lt;&gt;"ùùù",IF(AND(CF19=CF21,BD10=BD12),BL23,"kkk"),"kkk")</f>
        <v>#VALUE!</v>
      </c>
      <c r="ET19" s="48"/>
      <c r="EU19" s="59" t="e">
        <f>SUM(EP19:ET19)</f>
        <v>#VALUE!</v>
      </c>
      <c r="EV19" s="31" t="s">
        <v>35</v>
      </c>
      <c r="EW19" s="33" t="e">
        <f>IF(AND(CF19=CF18,BC10=BC9),+AG24+AI24+AK24+AM24+AO24,"xxx")</f>
        <v>#VALUE!</v>
      </c>
      <c r="EX19" s="54" t="s">
        <v>53</v>
      </c>
      <c r="EY19" s="33" t="e">
        <f>IF(AND(CF19=CF20,BC10=BC11),+AF21+AH21+AJ21+AL21+AN21,"xxx")</f>
        <v>#VALUE!</v>
      </c>
      <c r="EZ19" s="33" t="e">
        <f>IF(AND(CF19=CF21,BC10=BC12),+AF23+AH23+AJ23+AL23+AN23,"xxx")</f>
        <v>#VALUE!</v>
      </c>
      <c r="FA19" s="48"/>
      <c r="FB19" s="59" t="e">
        <f>SUM(EW19:FA19)</f>
        <v>#VALUE!</v>
      </c>
      <c r="FC19" s="31" t="s">
        <v>35</v>
      </c>
      <c r="FD19" s="33" t="e">
        <f>IF(AND(CF19=CF18,BC10=BC9),+AF24+AH24+AJ24+AL24+AN24,"xxx")</f>
        <v>#VALUE!</v>
      </c>
      <c r="FE19" s="54" t="s">
        <v>53</v>
      </c>
      <c r="FF19" s="33" t="e">
        <f>IF(AND(CF19=CF20,BC10=BC11),+AG21+AI21+AK21+AM21+AO21,"xxx")</f>
        <v>#VALUE!</v>
      </c>
      <c r="FG19" s="33" t="e">
        <f>IF(AND(CF19=CF21,BC10=BC12),+AG23+AI23+AK23+AM23+AO23,"xxx")</f>
        <v>#VALUE!</v>
      </c>
      <c r="FH19" s="48"/>
      <c r="FI19" s="59" t="e">
        <f>SUM(FD19:FH19)</f>
        <v>#VALUE!</v>
      </c>
      <c r="FJ19" s="67"/>
      <c r="FK19" s="67"/>
      <c r="FL19" s="67"/>
      <c r="FM19" s="67"/>
    </row>
    <row r="20" spans="1:169" ht="27.95" customHeight="1" x14ac:dyDescent="0.2">
      <c r="A20" s="542">
        <v>1</v>
      </c>
      <c r="B20" s="543" t="s">
        <v>13</v>
      </c>
      <c r="C20" s="544">
        <v>2</v>
      </c>
      <c r="D20" s="545" t="str">
        <f>D16</f>
        <v>Sa</v>
      </c>
      <c r="E20" s="546">
        <f>E19+0.021</f>
        <v>8.4000000000000005E-2</v>
      </c>
      <c r="F20" s="547">
        <f>F16</f>
        <v>0</v>
      </c>
      <c r="G20" s="817" t="str">
        <f t="shared" si="0"/>
        <v>POIX--DOUILLARD Alexis</v>
      </c>
      <c r="H20" s="818"/>
      <c r="I20" s="818"/>
      <c r="J20" s="818"/>
      <c r="K20" s="818"/>
      <c r="L20" s="548" t="s">
        <v>9</v>
      </c>
      <c r="M20" s="818" t="str">
        <f t="shared" si="1"/>
        <v>Bourneuf Tom</v>
      </c>
      <c r="N20" s="818"/>
      <c r="O20" s="818"/>
      <c r="P20" s="818"/>
      <c r="Q20" s="823"/>
      <c r="R20" s="556"/>
      <c r="S20" s="551"/>
      <c r="T20" s="551"/>
      <c r="U20" s="551"/>
      <c r="V20" s="552"/>
      <c r="W20" s="538"/>
      <c r="X20" s="557" t="str">
        <f>IF(AND(COUNTIF(($R20:$V20),"&gt;0")&gt;=2),1,IF(AND(COUNTIF(($R20:$V20),"&lt;0")&gt;=2),0,blanc))</f>
        <v xml:space="preserve"> </v>
      </c>
      <c r="Y20" s="554" t="str">
        <f>IF(AND(X20=0),1,IF(AND(X20=1),0,blanc))</f>
        <v xml:space="preserve"> </v>
      </c>
      <c r="Z20" s="558"/>
      <c r="AA20" s="555"/>
      <c r="AC20" s="81">
        <f>IF(AF9&lt;&gt;" ",AF9," ")</f>
        <v>1</v>
      </c>
      <c r="AD20" s="82">
        <f>IF(AF12&lt;&gt;" ",AF12," ")</f>
        <v>4</v>
      </c>
      <c r="AE20" s="83" t="str">
        <f t="shared" ref="AE20:AE25" si="5">IF(AK20&lt;&gt;0,IF(BI20&lt;0,AD20,AC20),IF(BI20=2,AC20,IF(BI20=-2,AD20," ")))</f>
        <v xml:space="preserve"> </v>
      </c>
      <c r="AF20" s="84">
        <f t="shared" ref="AF20:AF25" si="6">IF(R16=0,0,IF(R16&lt;0,-R16,IF(R16&lt;10,11,R16+2)))</f>
        <v>0</v>
      </c>
      <c r="AG20" s="85">
        <f t="shared" ref="AG20:AG25" si="7">IF(R16=0,0,IF(R16&gt;0,R16,IF(R16&gt;-10,11,-R16+2)))</f>
        <v>0</v>
      </c>
      <c r="AH20" s="82">
        <f t="shared" ref="AH20:AH25" si="8">IF(S16=0,0,IF(S16&lt;0,-S16,IF(S16&lt;10,11,S16+2)))</f>
        <v>0</v>
      </c>
      <c r="AI20" s="85">
        <f t="shared" ref="AI20:AI25" si="9">IF(S16=0,0,IF(S16&gt;0,S16,IF(S16&gt;-10,11,-S16+2)))</f>
        <v>0</v>
      </c>
      <c r="AJ20" s="86">
        <f t="shared" ref="AJ20:AJ25" si="10">IF(T16=0,0,IF(T16&lt;0,-T16,IF(T16&lt;10,11,T16+2)))</f>
        <v>0</v>
      </c>
      <c r="AK20" s="85">
        <f t="shared" ref="AK20:AK25" si="11">IF(T16=0,0,IF(T16&gt;0,T16,IF(T16&gt;-10,11,-T16+2)))</f>
        <v>0</v>
      </c>
      <c r="AL20" s="86">
        <f t="shared" ref="AL20:AL25" si="12">IF(U16=0,0,IF(U16&lt;0,-U16,IF(U16&lt;10,11,U16+2)))</f>
        <v>0</v>
      </c>
      <c r="AM20" s="85">
        <f t="shared" ref="AM20:AM25" si="13">IF(U16=0,0,IF(U16&gt;0,U16,IF(U16&gt;-10,11,-U16+2)))</f>
        <v>0</v>
      </c>
      <c r="AN20" s="86">
        <f t="shared" ref="AN20:AN25" si="14">IF(V16=0,0,IF(V16&lt;0,-V16,IF(V16&lt;10,11,V16+2)))</f>
        <v>0</v>
      </c>
      <c r="AO20" s="87">
        <f t="shared" ref="AO20:AO25" si="15">IF(V16=0,0,IF(V16&gt;0,V16,IF(V16&gt;-10,11,-V16+2)))</f>
        <v>0</v>
      </c>
      <c r="AP20" s="5">
        <f>IF(BI20&gt;0,1,0)</f>
        <v>0</v>
      </c>
      <c r="AR20" s="6"/>
      <c r="AS20" s="5">
        <f>IF(BI20&lt;0,1,0)</f>
        <v>0</v>
      </c>
      <c r="AT20" s="88"/>
      <c r="AU20" s="60"/>
      <c r="AV20" s="2"/>
      <c r="AW20" s="2"/>
      <c r="AX20" s="2"/>
      <c r="AY20" s="7">
        <f>IF(BI20&gt;0,1,0)</f>
        <v>0</v>
      </c>
      <c r="BA20" s="8"/>
      <c r="BB20" s="9">
        <f>IF(BI20&lt;0,1,0)</f>
        <v>0</v>
      </c>
      <c r="BC20" s="55">
        <f t="shared" ref="BC20:BC25" si="16">IF(AF20&lt;&gt;0,IF(AF20&gt;AG20,1,-1),0)</f>
        <v>0</v>
      </c>
      <c r="BD20" s="55">
        <f t="shared" ref="BD20:BD25" si="17">IF(AH20&lt;&gt;0,IF(AH20&gt;AI20,1,-1),0)</f>
        <v>0</v>
      </c>
      <c r="BE20" s="55">
        <f t="shared" ref="BE20:BE25" si="18">IF(AJ20&lt;&gt;0,IF(AJ20&gt;AK20,1,-1),0)</f>
        <v>0</v>
      </c>
      <c r="BF20" s="55">
        <f t="shared" ref="BF20:BF25" si="19">IF(AL20&lt;&gt;0,IF(AL20&gt;AM20,1,-1),0)</f>
        <v>0</v>
      </c>
      <c r="BG20" s="55">
        <f t="shared" ref="BG20:BG25" si="20">IF(AN20&lt;&gt;0,IF(AN20&gt;AO20,1,-1),0)</f>
        <v>0</v>
      </c>
      <c r="BH20" s="55" t="str">
        <f t="shared" ref="BH20:BH25" si="21">IF(BM20=0,"M",IF(BI20&gt;0,3,IF(BI20=0,"N",3+BI20)))</f>
        <v>M</v>
      </c>
      <c r="BI20" s="55">
        <f t="shared" ref="BI20:BI25" si="22">SUM(BC20:BG20)</f>
        <v>0</v>
      </c>
      <c r="BJ20" s="55"/>
      <c r="BK20" s="55"/>
      <c r="BL20" s="55" t="e">
        <f t="shared" ref="BL20:BL25" si="23">BM20-BH20</f>
        <v>#VALUE!</v>
      </c>
      <c r="BM20" s="55">
        <f t="shared" ref="BM20:BM25" si="24">ABS(BC20)+ABS(BD20)+ABS(BE20)+ABS(BF20)+ABS(BG20)</f>
        <v>0</v>
      </c>
      <c r="BN20" s="55"/>
      <c r="BO20" s="89"/>
      <c r="BQ20" s="1"/>
      <c r="BR20" s="62"/>
      <c r="BS20" s="31" t="str">
        <f t="shared" si="2"/>
        <v>C</v>
      </c>
      <c r="BT20" s="31" t="e">
        <f>BY18</f>
        <v>#VALUE!</v>
      </c>
      <c r="BU20" s="31" t="str">
        <f>BX18</f>
        <v>M</v>
      </c>
      <c r="BV20" s="31" t="e">
        <f>BY19</f>
        <v>#VALUE!</v>
      </c>
      <c r="BW20" s="31" t="str">
        <f>BX19</f>
        <v>M</v>
      </c>
      <c r="BX20" s="77"/>
      <c r="BY20" s="77"/>
      <c r="BZ20" s="31" t="str">
        <f>BH25</f>
        <v>M</v>
      </c>
      <c r="CA20" s="56" t="e">
        <f>BL25</f>
        <v>#VALUE!</v>
      </c>
      <c r="CB20" s="62"/>
      <c r="CC20" s="62"/>
      <c r="CD20" s="61"/>
      <c r="CE20" s="61"/>
      <c r="CF20" s="59" t="e">
        <f t="shared" si="3"/>
        <v>#VALUE!</v>
      </c>
      <c r="CG20" s="34" t="e">
        <f t="shared" si="4"/>
        <v>#VALUE!</v>
      </c>
      <c r="CH20" s="31" t="e">
        <f>IF(BT20&gt;BU20,1,0)</f>
        <v>#VALUE!</v>
      </c>
      <c r="CI20" s="31" t="e">
        <f>IF(BV20&gt;BW20,1,0)</f>
        <v>#VALUE!</v>
      </c>
      <c r="CJ20" s="31" t="e">
        <f>IF(BZ20&gt;CA20,1,0)</f>
        <v>#VALUE!</v>
      </c>
      <c r="CK20" s="31">
        <f>IF(CB20&gt;CC20,1,0)</f>
        <v>0</v>
      </c>
      <c r="CL20" s="31">
        <f>IF(CD20&gt;CE20,1,0)</f>
        <v>0</v>
      </c>
      <c r="CM20" s="78" t="e">
        <f>IF(BT20&lt;BU20,1,0)</f>
        <v>#VALUE!</v>
      </c>
      <c r="CN20" s="31" t="e">
        <f>IF(BV20&lt;BW20,1,0)</f>
        <v>#VALUE!</v>
      </c>
      <c r="CO20" s="31" t="e">
        <f>IF(BZ20&lt;CA20,1,0)</f>
        <v>#VALUE!</v>
      </c>
      <c r="CP20" s="31">
        <f>IF(CB20&lt;CC20,1,0)</f>
        <v>0</v>
      </c>
      <c r="CQ20" s="31">
        <f>IF(CD20&lt;CE20,1,0)</f>
        <v>0</v>
      </c>
      <c r="CR20" s="31" t="s">
        <v>36</v>
      </c>
      <c r="CS20" s="33" t="e">
        <f>IF(CF20=CF18,BA22,"xxx")</f>
        <v>#VALUE!</v>
      </c>
      <c r="CT20" s="33" t="e">
        <f>IF(CF20=CF19,BA21,"xxx")</f>
        <v>#VALUE!</v>
      </c>
      <c r="CU20" s="54" t="s">
        <v>53</v>
      </c>
      <c r="CV20" s="33" t="e">
        <f>IF(CF20=CF21,BA25,"xxx")</f>
        <v>#VALUE!</v>
      </c>
      <c r="CW20" s="48"/>
      <c r="CX20" s="59" t="e">
        <f>SUM(CS20:CW20)</f>
        <v>#VALUE!</v>
      </c>
      <c r="CY20" s="31" t="s">
        <v>36</v>
      </c>
      <c r="CZ20" s="33" t="e">
        <f>IF(CF20=CF18,AY22,"xxx")</f>
        <v>#VALUE!</v>
      </c>
      <c r="DA20" s="33" t="e">
        <f>IF(CF20=CF19,AZ21,"xxx")</f>
        <v>#VALUE!</v>
      </c>
      <c r="DB20" s="54" t="s">
        <v>53</v>
      </c>
      <c r="DC20" s="33" t="e">
        <f>IF(CF20=CF21,BB25,"xxx")</f>
        <v>#VALUE!</v>
      </c>
      <c r="DD20" s="48"/>
      <c r="DE20" s="59" t="e">
        <f>SUM(CZ20:DD20)</f>
        <v>#VALUE!</v>
      </c>
      <c r="DF20" s="31" t="s">
        <v>36</v>
      </c>
      <c r="DG20" s="33" t="e">
        <f>IF(AND(BA11&lt;&gt;0,AY11=AY9),IF(BA11=BA9,BA22,"xxx"),"xxx")</f>
        <v>#VALUE!</v>
      </c>
      <c r="DH20" s="33" t="e">
        <f>IF(AND(BA11&lt;&gt;0,AY11=AY10),IF(BA11=BA10,BA21,"xxx"),"xxx")</f>
        <v>#VALUE!</v>
      </c>
      <c r="DI20" s="54" t="s">
        <v>53</v>
      </c>
      <c r="DJ20" s="33" t="e">
        <f>IF(AND(BA11&lt;&gt;0,AY11=AY12),IF(BA11=BA12,BA25,"xxx"),"xxx")</f>
        <v>#VALUE!</v>
      </c>
      <c r="DK20" s="48"/>
      <c r="DL20" s="59" t="e">
        <f>SUM(DG20:DK20)</f>
        <v>#VALUE!</v>
      </c>
      <c r="DM20" s="31" t="s">
        <v>36</v>
      </c>
      <c r="DN20" s="33" t="e">
        <f>IF(AND(BA11&lt;&gt;0,AY11=AY9),IF(BA11=BA9,AY22,"xxx"),"xxx")</f>
        <v>#VALUE!</v>
      </c>
      <c r="DO20" s="33" t="e">
        <f>IF(AND(BA11&lt;&gt;0,AY11=AY10),IF(BA11=BA10,AZ21,"xxx"),"xxx")</f>
        <v>#VALUE!</v>
      </c>
      <c r="DP20" s="54" t="s">
        <v>53</v>
      </c>
      <c r="DQ20" s="33" t="e">
        <f>IF(AND(BA11&lt;&gt;0,AY11=AY12),IF(BA11=BA12,BB25,"xxx"),"xxx")</f>
        <v>#VALUE!</v>
      </c>
      <c r="DR20" s="48"/>
      <c r="DS20" s="59" t="e">
        <f>SUM(DN20:DR20)</f>
        <v>#VALUE!</v>
      </c>
      <c r="DT20" s="31" t="s">
        <v>36</v>
      </c>
      <c r="DU20" s="33" t="e">
        <f>IF(AND(CF20=CF18,BA11=BA9),BL22,"kkk")</f>
        <v>#VALUE!</v>
      </c>
      <c r="DV20" s="33" t="e">
        <f>IF(AND(CF20=CF19,BA11=BA10),BL21,"kkk")</f>
        <v>#VALUE!</v>
      </c>
      <c r="DW20" s="54" t="s">
        <v>53</v>
      </c>
      <c r="DX20" s="33" t="e">
        <f>IF(AND(CF20=CF21,BA11=BA12),BH25,"kkk")</f>
        <v>#VALUE!</v>
      </c>
      <c r="DY20" s="48"/>
      <c r="DZ20" s="59" t="e">
        <f>SUM(DU20:DY20)</f>
        <v>#VALUE!</v>
      </c>
      <c r="EA20" s="31" t="s">
        <v>36</v>
      </c>
      <c r="EB20" s="33" t="e">
        <f>IF(AND(CF20=CF18,BA11=BA9),BH22,"kkk")</f>
        <v>#VALUE!</v>
      </c>
      <c r="EC20" s="33" t="e">
        <f>IF(AND(CF20=CF19,BA11=BA10),BH21,"kkk")</f>
        <v>#VALUE!</v>
      </c>
      <c r="ED20" s="54" t="s">
        <v>53</v>
      </c>
      <c r="EE20" s="33" t="e">
        <f>IF(AND(CF20=CF21,BA11=BA12),BL25,"kkk")</f>
        <v>#VALUE!</v>
      </c>
      <c r="EF20" s="48"/>
      <c r="EG20" s="59" t="e">
        <f>SUM(EB20:EF20)</f>
        <v>#VALUE!</v>
      </c>
      <c r="EH20" s="31" t="s">
        <v>36</v>
      </c>
      <c r="EI20" s="33" t="e">
        <f>IF(BD11&lt;&gt;"ùùù",IF(AND(CF20=CF18,BD11=BD9),BL22,"kkk"),"kkk")</f>
        <v>#VALUE!</v>
      </c>
      <c r="EJ20" s="33" t="e">
        <f>IF(BD11&lt;&gt;"ùùù",IF(AND(CF20=CF19,BD11=BD10),BL21,"kkk"),"kkk")</f>
        <v>#VALUE!</v>
      </c>
      <c r="EK20" s="54" t="s">
        <v>53</v>
      </c>
      <c r="EL20" s="33" t="e">
        <f>IF(BD11&lt;&gt;"ùùù",IF(AND(CF20=CF21,BD11=BD12),BH25,"kkk"),"kkk")</f>
        <v>#VALUE!</v>
      </c>
      <c r="EM20" s="48"/>
      <c r="EN20" s="59" t="e">
        <f>SUM(EI20:EM20)</f>
        <v>#VALUE!</v>
      </c>
      <c r="EO20" s="31" t="s">
        <v>36</v>
      </c>
      <c r="EP20" s="33" t="e">
        <f>IF(BD11&lt;&gt;"ùùù",IF(AND(CF20=CF18,BD11=BD9),BH22,"kkk"),"kkk")</f>
        <v>#VALUE!</v>
      </c>
      <c r="EQ20" s="33" t="e">
        <f>IF(BD11&lt;&gt;"ùùù",IF(AND(CF20=CF19,BD11=BD10),BH21,"kkk"),"kkk")</f>
        <v>#VALUE!</v>
      </c>
      <c r="ER20" s="54" t="s">
        <v>53</v>
      </c>
      <c r="ES20" s="33" t="e">
        <f>IF(BD11&lt;&gt;"ùùù",IF(AND(CF20=CF21,BD11=BD12),BL25,"kkk"),"kkk")</f>
        <v>#VALUE!</v>
      </c>
      <c r="ET20" s="48"/>
      <c r="EU20" s="59" t="e">
        <f>SUM(EP20:ET20)</f>
        <v>#VALUE!</v>
      </c>
      <c r="EV20" s="31" t="s">
        <v>36</v>
      </c>
      <c r="EW20" s="33" t="e">
        <f>IF(AND(CF20=CF18,BC11=BC9),+AG22+AI22+AK22+AM22+AO22,"xxx")</f>
        <v>#VALUE!</v>
      </c>
      <c r="EX20" s="33" t="e">
        <f>IF(AND(CF20=CF19,BC11=BC10),+AG21+AI21+AK21+AM21+AO21,"xxx")</f>
        <v>#VALUE!</v>
      </c>
      <c r="EY20" s="54" t="s">
        <v>53</v>
      </c>
      <c r="EZ20" s="33" t="e">
        <f>IF(AND(CF20=CF21,BC11=BC12),+AF25+AH25+AJ25+AL25+AN25,"xxx")</f>
        <v>#VALUE!</v>
      </c>
      <c r="FA20" s="48"/>
      <c r="FB20" s="59" t="e">
        <f>SUM(EW20:FA20)</f>
        <v>#VALUE!</v>
      </c>
      <c r="FC20" s="31" t="s">
        <v>36</v>
      </c>
      <c r="FD20" s="33" t="e">
        <f>IF(AND(CF20=CF18,BC11=BC9),+AF22+AH22+AJ22+AL22+AN22,"xxx")</f>
        <v>#VALUE!</v>
      </c>
      <c r="FE20" s="33" t="e">
        <f>IF(AND(CF20=CF19,BC11=BC10),+AF21+AH21+AJ21+AL21+AN21,"xxx")</f>
        <v>#VALUE!</v>
      </c>
      <c r="FF20" s="54" t="s">
        <v>53</v>
      </c>
      <c r="FG20" s="33" t="e">
        <f>IF(AND(CF20=CF21,BC11=BC12),+AG25+AI25+AK25+AM25+AO25,"xxx")</f>
        <v>#VALUE!</v>
      </c>
      <c r="FH20" s="48"/>
      <c r="FI20" s="59" t="e">
        <f>SUM(FD20:FH20)</f>
        <v>#VALUE!</v>
      </c>
      <c r="FJ20" s="2"/>
      <c r="FK20" s="2"/>
      <c r="FL20" s="2"/>
      <c r="FM20" s="2"/>
    </row>
    <row r="21" spans="1:169" ht="27.95" customHeight="1" thickBot="1" x14ac:dyDescent="0.25">
      <c r="A21" s="525">
        <v>3</v>
      </c>
      <c r="B21" s="560" t="s">
        <v>13</v>
      </c>
      <c r="C21" s="561">
        <v>4</v>
      </c>
      <c r="D21" s="562"/>
      <c r="E21" s="563">
        <f>E20+0.0205</f>
        <v>0.10450000000000001</v>
      </c>
      <c r="F21" s="564">
        <f>F16</f>
        <v>0</v>
      </c>
      <c r="G21" s="819" t="str">
        <f t="shared" si="0"/>
        <v>BEAUDRON Mathias</v>
      </c>
      <c r="H21" s="820"/>
      <c r="I21" s="820"/>
      <c r="J21" s="820"/>
      <c r="K21" s="820"/>
      <c r="L21" s="517" t="s">
        <v>9</v>
      </c>
      <c r="M21" s="820">
        <f t="shared" si="1"/>
        <v>0</v>
      </c>
      <c r="N21" s="820"/>
      <c r="O21" s="820"/>
      <c r="P21" s="820"/>
      <c r="Q21" s="824"/>
      <c r="R21" s="565"/>
      <c r="S21" s="566"/>
      <c r="T21" s="566"/>
      <c r="U21" s="566"/>
      <c r="V21" s="567"/>
      <c r="W21" s="538"/>
      <c r="X21" s="568"/>
      <c r="Y21" s="569"/>
      <c r="Z21" s="570" t="str">
        <f>IF(AND(COUNTIF(($R21:$V21),"&gt;0")&gt;=2),1,IF(AND(COUNTIF(($R21:$V21),"&lt;0")&gt;=2),0,blanc))</f>
        <v xml:space="preserve"> </v>
      </c>
      <c r="AA21" s="571" t="str">
        <f>IF(AND(Z21=0),1,IF(AND(Z21=1),0,blanc))</f>
        <v xml:space="preserve"> </v>
      </c>
      <c r="AC21" s="90">
        <f>IF(AF10&lt;&gt;" ",AF10," ")</f>
        <v>2</v>
      </c>
      <c r="AD21" s="41">
        <f>IF(AF11&lt;&gt;" ",AF11," ")</f>
        <v>3</v>
      </c>
      <c r="AE21" s="53" t="str">
        <f t="shared" si="5"/>
        <v xml:space="preserve"> </v>
      </c>
      <c r="AF21" s="84">
        <f t="shared" si="6"/>
        <v>0</v>
      </c>
      <c r="AG21" s="85">
        <f t="shared" si="7"/>
        <v>0</v>
      </c>
      <c r="AH21" s="82">
        <f t="shared" si="8"/>
        <v>0</v>
      </c>
      <c r="AI21" s="85">
        <f t="shared" si="9"/>
        <v>0</v>
      </c>
      <c r="AJ21" s="86">
        <f t="shared" si="10"/>
        <v>0</v>
      </c>
      <c r="AK21" s="85">
        <f t="shared" si="11"/>
        <v>0</v>
      </c>
      <c r="AL21" s="86">
        <f t="shared" si="12"/>
        <v>0</v>
      </c>
      <c r="AM21" s="85">
        <f t="shared" si="13"/>
        <v>0</v>
      </c>
      <c r="AN21" s="86">
        <f t="shared" si="14"/>
        <v>0</v>
      </c>
      <c r="AO21" s="87">
        <f t="shared" si="15"/>
        <v>0</v>
      </c>
      <c r="AP21" s="10"/>
      <c r="AQ21" s="12">
        <f>IF(BI21&gt;0,1,0)</f>
        <v>0</v>
      </c>
      <c r="AR21" s="12">
        <f>IF(BI21&lt;0,1,0)</f>
        <v>0</v>
      </c>
      <c r="AT21" s="24"/>
      <c r="AU21" s="60"/>
      <c r="AV21" s="2"/>
      <c r="AW21" s="2"/>
      <c r="AX21" s="2"/>
      <c r="AY21" s="13"/>
      <c r="AZ21" s="15">
        <f>IF(BI21&gt;0,1,0)</f>
        <v>0</v>
      </c>
      <c r="BA21" s="15">
        <f>IF(BI21&lt;0,1,0)</f>
        <v>0</v>
      </c>
      <c r="BB21" s="91"/>
      <c r="BC21" s="33">
        <f t="shared" si="16"/>
        <v>0</v>
      </c>
      <c r="BD21" s="33">
        <f t="shared" si="17"/>
        <v>0</v>
      </c>
      <c r="BE21" s="33">
        <f t="shared" si="18"/>
        <v>0</v>
      </c>
      <c r="BF21" s="33">
        <f t="shared" si="19"/>
        <v>0</v>
      </c>
      <c r="BG21" s="33">
        <f t="shared" si="20"/>
        <v>0</v>
      </c>
      <c r="BH21" s="33" t="str">
        <f t="shared" si="21"/>
        <v>M</v>
      </c>
      <c r="BI21" s="33">
        <f t="shared" si="22"/>
        <v>0</v>
      </c>
      <c r="BJ21" s="33"/>
      <c r="BK21" s="33"/>
      <c r="BL21" s="33" t="e">
        <f t="shared" si="23"/>
        <v>#VALUE!</v>
      </c>
      <c r="BM21" s="33">
        <f t="shared" si="24"/>
        <v>0</v>
      </c>
      <c r="BN21" s="33"/>
      <c r="BO21" s="50"/>
      <c r="BQ21" s="1"/>
      <c r="BR21" s="62"/>
      <c r="BS21" s="31" t="str">
        <f t="shared" si="2"/>
        <v>D</v>
      </c>
      <c r="BT21" s="31" t="e">
        <f>CA18</f>
        <v>#VALUE!</v>
      </c>
      <c r="BU21" s="31" t="str">
        <f>BZ18</f>
        <v>M</v>
      </c>
      <c r="BV21" s="31" t="e">
        <f>CA19</f>
        <v>#VALUE!</v>
      </c>
      <c r="BW21" s="31" t="str">
        <f>BZ19</f>
        <v>M</v>
      </c>
      <c r="BX21" s="31" t="e">
        <f>CA20</f>
        <v>#VALUE!</v>
      </c>
      <c r="BY21" s="31" t="str">
        <f>BZ20</f>
        <v>M</v>
      </c>
      <c r="BZ21" s="77"/>
      <c r="CA21" s="92"/>
      <c r="CB21" s="62"/>
      <c r="CC21" s="62"/>
      <c r="CD21" s="61"/>
      <c r="CE21" s="61"/>
      <c r="CF21" s="59" t="e">
        <f t="shared" si="3"/>
        <v>#VALUE!</v>
      </c>
      <c r="CG21" s="34" t="e">
        <f t="shared" si="4"/>
        <v>#VALUE!</v>
      </c>
      <c r="CH21" s="38" t="e">
        <f>IF(BT21&gt;BU21,1,0)</f>
        <v>#VALUE!</v>
      </c>
      <c r="CI21" s="38" t="e">
        <f>IF(BV21&gt;BW21,1,0)</f>
        <v>#VALUE!</v>
      </c>
      <c r="CJ21" s="38" t="e">
        <f>IF(BX21&gt;BY21,1,0)</f>
        <v>#VALUE!</v>
      </c>
      <c r="CK21" s="38">
        <f>IF(CB21&gt;CC21,1,0)</f>
        <v>0</v>
      </c>
      <c r="CL21" s="38">
        <f>IF(CD21&gt;CE21,1,0)</f>
        <v>0</v>
      </c>
      <c r="CM21" s="93" t="e">
        <f>IF(BT21&lt;BU21,1,0)</f>
        <v>#VALUE!</v>
      </c>
      <c r="CN21" s="38" t="e">
        <f>IF(BV21&lt;BW21,1,0)</f>
        <v>#VALUE!</v>
      </c>
      <c r="CO21" s="38" t="e">
        <f>IF(BX21&lt;BY21,1,0)</f>
        <v>#VALUE!</v>
      </c>
      <c r="CP21" s="38">
        <f>IF(CB21&lt;CC21,1,0)</f>
        <v>0</v>
      </c>
      <c r="CQ21" s="38">
        <f>IF(CD21&lt;CE21,1,0)</f>
        <v>0</v>
      </c>
      <c r="CR21" s="38" t="s">
        <v>61</v>
      </c>
      <c r="CS21" s="39" t="e">
        <f>IF(CF21=CF18,BB20,"xxx")</f>
        <v>#VALUE!</v>
      </c>
      <c r="CT21" s="39" t="e">
        <f>IF(CF21=CF19,BB23,"xxx")</f>
        <v>#VALUE!</v>
      </c>
      <c r="CU21" s="39" t="e">
        <f>IF(CF21=CF20,BB25,"xxx")</f>
        <v>#VALUE!</v>
      </c>
      <c r="CV21" s="57" t="s">
        <v>53</v>
      </c>
      <c r="CW21" s="40"/>
      <c r="CX21" s="59" t="e">
        <f>SUM(CS21:CW21)</f>
        <v>#VALUE!</v>
      </c>
      <c r="CY21" s="38" t="s">
        <v>61</v>
      </c>
      <c r="CZ21" s="39" t="e">
        <f>IF(CF21=CF18,AY20,"xxx")</f>
        <v>#VALUE!</v>
      </c>
      <c r="DA21" s="39" t="e">
        <f>IF(CF21=CF19,AZ23,"xxx")</f>
        <v>#VALUE!</v>
      </c>
      <c r="DB21" s="39" t="e">
        <f>IF(CF21=CF20,BA25,"xxx")</f>
        <v>#VALUE!</v>
      </c>
      <c r="DC21" s="57" t="s">
        <v>53</v>
      </c>
      <c r="DD21" s="40"/>
      <c r="DE21" s="94" t="e">
        <f>SUM(CZ21:DD21)</f>
        <v>#VALUE!</v>
      </c>
      <c r="DF21" s="38" t="s">
        <v>61</v>
      </c>
      <c r="DG21" s="39" t="e">
        <f>IF(AND(BA12&lt;&gt;0,AY12=AY9),IF(BA12=BA9,BB20,"xxx"),"xxx")</f>
        <v>#VALUE!</v>
      </c>
      <c r="DH21" s="39" t="e">
        <f>IF(AND(BA12&lt;&gt;0,AY12=AY10),IF(BA12=BA10,BB23,"xxx"),"xxx")</f>
        <v>#VALUE!</v>
      </c>
      <c r="DI21" s="39" t="e">
        <f>IF(AND(BA12&lt;&gt;0,AY12=AY11),IF(BA12=BA11,BB25,"xxx"),"xxx")</f>
        <v>#VALUE!</v>
      </c>
      <c r="DJ21" s="57" t="s">
        <v>53</v>
      </c>
      <c r="DK21" s="40"/>
      <c r="DL21" s="59" t="e">
        <f>SUM(DG21:DK21)</f>
        <v>#VALUE!</v>
      </c>
      <c r="DM21" s="38" t="s">
        <v>61</v>
      </c>
      <c r="DN21" s="39" t="e">
        <f>IF(AND(BA12&lt;&gt;0,AY12=AY9),IF(BA12=BA9,AY20,"xxx"),"xxx")</f>
        <v>#VALUE!</v>
      </c>
      <c r="DO21" s="39" t="e">
        <f>IF(AND(BA12&lt;&gt;0,AY12=AY10),IF(BA12=BA10,AZ23,"xxx"),"xxx")</f>
        <v>#VALUE!</v>
      </c>
      <c r="DP21" s="39" t="e">
        <f>IF(AND(BA12&lt;&gt;0,AY12=AY11),IF(BA12=BA11,BA25,"xxx"),"xxx")</f>
        <v>#VALUE!</v>
      </c>
      <c r="DQ21" s="57" t="s">
        <v>53</v>
      </c>
      <c r="DR21" s="40"/>
      <c r="DS21" s="59" t="e">
        <f>SUM(DN21:DR21)</f>
        <v>#VALUE!</v>
      </c>
      <c r="DT21" s="38" t="s">
        <v>61</v>
      </c>
      <c r="DU21" s="39" t="e">
        <f>IF(AND(CF21=CF18,BA12=BA9),BL20,"kkk")</f>
        <v>#VALUE!</v>
      </c>
      <c r="DV21" s="39" t="e">
        <f>IF(AND(CF21=CF19,BA12=BA10),BL23,"kkk")</f>
        <v>#VALUE!</v>
      </c>
      <c r="DW21" s="39" t="e">
        <f>IF(AND(CF21=CF20,BA12=BA11),BL25,"kkk")</f>
        <v>#VALUE!</v>
      </c>
      <c r="DX21" s="57" t="s">
        <v>53</v>
      </c>
      <c r="DY21" s="40"/>
      <c r="DZ21" s="59" t="e">
        <f>SUM(DU21:DY21)</f>
        <v>#VALUE!</v>
      </c>
      <c r="EA21" s="38" t="s">
        <v>61</v>
      </c>
      <c r="EB21" s="39" t="e">
        <f>IF(AND(CF21=CF18,BA12=BA9),BH20,"kkk")</f>
        <v>#VALUE!</v>
      </c>
      <c r="EC21" s="39" t="e">
        <f>IF(AND(CF21=CF19,BA12=BA10),BH23,"kkk")</f>
        <v>#VALUE!</v>
      </c>
      <c r="ED21" s="39" t="e">
        <f>IF(AND(CF21=CF20,BA12=BA11),BH25,"kkk")</f>
        <v>#VALUE!</v>
      </c>
      <c r="EE21" s="57" t="s">
        <v>53</v>
      </c>
      <c r="EF21" s="40"/>
      <c r="EG21" s="59" t="e">
        <f>SUM(EB21:EF21)</f>
        <v>#VALUE!</v>
      </c>
      <c r="EH21" s="38" t="s">
        <v>61</v>
      </c>
      <c r="EI21" s="39" t="e">
        <f>IF(BD12&lt;&gt;"ùùù",IF(AND(CF21=CF18,BD12=BD9),BL20,"kkk"),"kkk")</f>
        <v>#VALUE!</v>
      </c>
      <c r="EJ21" s="39" t="e">
        <f>IF(BD12&lt;&gt;"ùùù",IF(AND(CF21=CF19,BD12=BD10),BL23,"kkk"),"kkk")</f>
        <v>#VALUE!</v>
      </c>
      <c r="EK21" s="39" t="e">
        <f>IF(BD12&lt;&gt;"ùùù",IF(AND(CF21=CF20,BD12=BD11),BL25,"kkk"),"kkk")</f>
        <v>#VALUE!</v>
      </c>
      <c r="EL21" s="57" t="s">
        <v>53</v>
      </c>
      <c r="EM21" s="40"/>
      <c r="EN21" s="59" t="e">
        <f>SUM(EI21:EM21)</f>
        <v>#VALUE!</v>
      </c>
      <c r="EO21" s="38" t="s">
        <v>61</v>
      </c>
      <c r="EP21" s="39" t="e">
        <f>IF(BD12&lt;&gt;"ùùù",IF(AND(CF21=CF18,BD12=BD9),BH20,"kkk"),"kkk")</f>
        <v>#VALUE!</v>
      </c>
      <c r="EQ21" s="39" t="e">
        <f>IF(BD12&lt;&gt;"ùùù",IF(AND(CF21=CF19,BD12=BD10),BH23,"kkk"),"kkk")</f>
        <v>#VALUE!</v>
      </c>
      <c r="ER21" s="39" t="e">
        <f>IF(BD12&lt;&gt;"ùùù",IF(AND(CF21=CF20,BD12=BD11),BH25,"kkk"),"kkk")</f>
        <v>#VALUE!</v>
      </c>
      <c r="ES21" s="57" t="s">
        <v>53</v>
      </c>
      <c r="ET21" s="40"/>
      <c r="EU21" s="59" t="e">
        <f>SUM(EP21:ET21)</f>
        <v>#VALUE!</v>
      </c>
      <c r="EV21" s="38" t="s">
        <v>61</v>
      </c>
      <c r="EW21" s="39" t="e">
        <f>IF(AND(CF21=CF18,BC12=BC9),+AG20+AI20+AK20+AM20+AO20,"xxx")</f>
        <v>#VALUE!</v>
      </c>
      <c r="EX21" s="39" t="e">
        <f>IF(AND(CF21=CF19,BC12=BC10),+AG23+AI23+AK23+AM23+AO23,"xxx")</f>
        <v>#VALUE!</v>
      </c>
      <c r="EY21" s="39" t="e">
        <f>IF(AND(CF21=CF20,BC11=BC12),+AG25+AI25+AK25+AM25+AO25,"xxx")</f>
        <v>#VALUE!</v>
      </c>
      <c r="EZ21" s="57" t="s">
        <v>53</v>
      </c>
      <c r="FA21" s="40"/>
      <c r="FB21" s="59" t="e">
        <f>SUM(EW21:FA21)</f>
        <v>#VALUE!</v>
      </c>
      <c r="FC21" s="38" t="s">
        <v>61</v>
      </c>
      <c r="FD21" s="39" t="e">
        <f>IF(AND(CF21=CF18,BC12=BC9),+AF20+AH20+AJ20+AL20+AN20,"xxx")</f>
        <v>#VALUE!</v>
      </c>
      <c r="FE21" s="39" t="e">
        <f>IF(AND(CF21=CF19,BC12=BC10),+AF23+AH23+AJ23+AL23+AN23,"xxx")</f>
        <v>#VALUE!</v>
      </c>
      <c r="FF21" s="39" t="e">
        <f>IF(AND(CF21=CF20,BC12=BC11),+AF25+AH25+AJ25+AL25+AN25,"xxx")</f>
        <v>#VALUE!</v>
      </c>
      <c r="FG21" s="57" t="s">
        <v>53</v>
      </c>
      <c r="FH21" s="40"/>
      <c r="FI21" s="59" t="e">
        <f>SUM(FD21:FH21)</f>
        <v>#VALUE!</v>
      </c>
      <c r="FJ21" s="2"/>
      <c r="FK21" s="2"/>
      <c r="FL21" s="2"/>
      <c r="FM21" s="2"/>
    </row>
    <row r="22" spans="1:169" ht="21.95" customHeight="1" x14ac:dyDescent="0.2">
      <c r="A22" s="503"/>
      <c r="B22" s="503"/>
      <c r="C22" s="502"/>
      <c r="D22" s="502"/>
      <c r="E22" s="502"/>
      <c r="F22" s="502"/>
      <c r="G22" s="503"/>
      <c r="H22" s="506"/>
      <c r="I22" s="506"/>
      <c r="J22" s="506"/>
      <c r="K22" s="506"/>
      <c r="L22" s="572">
        <v>6</v>
      </c>
      <c r="M22" s="511"/>
      <c r="N22" s="572" t="s">
        <v>3</v>
      </c>
      <c r="O22" s="874" t="s">
        <v>17</v>
      </c>
      <c r="P22" s="875"/>
      <c r="Q22" s="875"/>
      <c r="R22" s="875"/>
      <c r="S22" s="875"/>
      <c r="T22" s="875"/>
      <c r="U22" s="875"/>
      <c r="V22" s="876"/>
      <c r="W22" s="573"/>
      <c r="X22" s="574" t="str">
        <f>IF($R$16="","",SUM(X16:X21))</f>
        <v/>
      </c>
      <c r="Y22" s="575" t="str">
        <f>IF($R$16="","",SUM(Y16:Y21))</f>
        <v/>
      </c>
      <c r="Z22" s="575" t="str">
        <f>IF($R$16="","",SUM(Z16:Z21))</f>
        <v/>
      </c>
      <c r="AA22" s="576" t="str">
        <f>IF($R$16="","",SUM(AA16:AA21))</f>
        <v/>
      </c>
      <c r="AB22" s="604">
        <f>SUM(X22:AA22)</f>
        <v>0</v>
      </c>
      <c r="AC22" s="90">
        <f>IF(AF9&lt;&gt;" ",AF9," ")</f>
        <v>1</v>
      </c>
      <c r="AD22" s="41">
        <f>IF(AF11&lt;&gt;" ",AF11," ")</f>
        <v>3</v>
      </c>
      <c r="AE22" s="53" t="str">
        <f t="shared" si="5"/>
        <v xml:space="preserve"> </v>
      </c>
      <c r="AF22" s="84">
        <f t="shared" si="6"/>
        <v>0</v>
      </c>
      <c r="AG22" s="85">
        <f t="shared" si="7"/>
        <v>0</v>
      </c>
      <c r="AH22" s="82">
        <f t="shared" si="8"/>
        <v>0</v>
      </c>
      <c r="AI22" s="85">
        <f t="shared" si="9"/>
        <v>0</v>
      </c>
      <c r="AJ22" s="86">
        <f t="shared" si="10"/>
        <v>0</v>
      </c>
      <c r="AK22" s="85">
        <f t="shared" si="11"/>
        <v>0</v>
      </c>
      <c r="AL22" s="86">
        <f t="shared" si="12"/>
        <v>0</v>
      </c>
      <c r="AM22" s="85">
        <f t="shared" si="13"/>
        <v>0</v>
      </c>
      <c r="AN22" s="86">
        <f t="shared" si="14"/>
        <v>0</v>
      </c>
      <c r="AO22" s="87">
        <f t="shared" si="15"/>
        <v>0</v>
      </c>
      <c r="AP22" s="16">
        <f>IF(BI22&gt;0,1,0)</f>
        <v>0</v>
      </c>
      <c r="AQ22" s="11"/>
      <c r="AR22" s="27">
        <f>IF(BI22&lt;0,1,0)</f>
        <v>0</v>
      </c>
      <c r="AS22" s="25"/>
      <c r="AT22" s="88"/>
      <c r="AU22" s="60"/>
      <c r="AV22" s="2"/>
      <c r="AW22" s="2"/>
      <c r="AX22" s="2"/>
      <c r="AY22" s="17">
        <f>IF(BI22&gt;0,1,0)</f>
        <v>0</v>
      </c>
      <c r="AZ22" s="14"/>
      <c r="BA22" s="15">
        <f>IF(BI22&lt;0,1,0)</f>
        <v>0</v>
      </c>
      <c r="BB22" s="29"/>
      <c r="BC22" s="33">
        <f t="shared" si="16"/>
        <v>0</v>
      </c>
      <c r="BD22" s="33">
        <f t="shared" si="17"/>
        <v>0</v>
      </c>
      <c r="BE22" s="33">
        <f t="shared" si="18"/>
        <v>0</v>
      </c>
      <c r="BF22" s="33">
        <f t="shared" si="19"/>
        <v>0</v>
      </c>
      <c r="BG22" s="33">
        <f t="shared" si="20"/>
        <v>0</v>
      </c>
      <c r="BH22" s="33" t="str">
        <f t="shared" si="21"/>
        <v>M</v>
      </c>
      <c r="BI22" s="33">
        <f t="shared" si="22"/>
        <v>0</v>
      </c>
      <c r="BJ22" s="33"/>
      <c r="BK22" s="33"/>
      <c r="BL22" s="33" t="e">
        <f t="shared" si="23"/>
        <v>#VALUE!</v>
      </c>
      <c r="BM22" s="33">
        <f t="shared" si="24"/>
        <v>0</v>
      </c>
      <c r="BN22" s="33"/>
      <c r="BO22" s="50"/>
      <c r="BQ22" s="1"/>
      <c r="BR22" s="62"/>
      <c r="BS22" s="38">
        <f t="shared" si="2"/>
        <v>0</v>
      </c>
      <c r="BT22" s="38">
        <f>CC18</f>
        <v>0</v>
      </c>
      <c r="BU22" s="38">
        <f>CB18</f>
        <v>0</v>
      </c>
      <c r="BV22" s="38">
        <f>CC19</f>
        <v>0</v>
      </c>
      <c r="BW22" s="38">
        <f>CB19</f>
        <v>0</v>
      </c>
      <c r="BX22" s="38">
        <f>CC20</f>
        <v>0</v>
      </c>
      <c r="BY22" s="38">
        <f>CB20</f>
        <v>0</v>
      </c>
      <c r="BZ22" s="38">
        <f>CC21</f>
        <v>0</v>
      </c>
      <c r="CA22" s="58">
        <f>CB21</f>
        <v>0</v>
      </c>
      <c r="CB22" s="61"/>
      <c r="CC22" s="61"/>
      <c r="CD22" s="61"/>
      <c r="CE22" s="61"/>
      <c r="CF22" s="59">
        <f t="shared" si="3"/>
        <v>0</v>
      </c>
      <c r="CG22" s="34">
        <f t="shared" si="4"/>
        <v>0</v>
      </c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0"/>
      <c r="CT22" s="60"/>
      <c r="CU22" s="60"/>
      <c r="CV22" s="60"/>
      <c r="CW22" s="60"/>
      <c r="CX22" s="60"/>
      <c r="CY22" s="61"/>
      <c r="CZ22" s="60"/>
      <c r="DA22" s="60"/>
      <c r="DB22" s="60"/>
      <c r="DC22" s="60"/>
      <c r="DD22" s="60"/>
      <c r="DE22" s="60"/>
      <c r="DF22" s="61"/>
      <c r="DG22" s="60"/>
      <c r="DH22" s="60"/>
      <c r="DI22" s="60"/>
      <c r="DJ22" s="60"/>
      <c r="DK22" s="60"/>
      <c r="DL22" s="60"/>
      <c r="DM22" s="61"/>
      <c r="DN22" s="60"/>
      <c r="DO22" s="60"/>
      <c r="DP22" s="60"/>
      <c r="DQ22" s="60"/>
      <c r="DR22" s="60"/>
      <c r="DS22" s="60"/>
      <c r="DT22" s="61"/>
      <c r="DU22" s="60"/>
      <c r="DV22" s="60"/>
      <c r="DW22" s="60"/>
      <c r="DX22" s="60"/>
      <c r="DY22" s="60"/>
      <c r="DZ22" s="60"/>
      <c r="EA22" s="61"/>
      <c r="EB22" s="60"/>
      <c r="EC22" s="60"/>
      <c r="ED22" s="60"/>
      <c r="EE22" s="60"/>
      <c r="EF22" s="60"/>
      <c r="EG22" s="60"/>
      <c r="EH22" s="61"/>
      <c r="EI22" s="60"/>
      <c r="EJ22" s="60"/>
      <c r="EK22" s="60"/>
      <c r="EL22" s="60"/>
      <c r="EM22" s="60"/>
      <c r="EN22" s="60"/>
      <c r="EO22" s="61"/>
      <c r="EP22" s="60"/>
      <c r="EQ22" s="60"/>
      <c r="ER22" s="60"/>
      <c r="ES22" s="60"/>
      <c r="ET22" s="60"/>
      <c r="EU22" s="60"/>
      <c r="EV22" s="61"/>
      <c r="EW22" s="60"/>
      <c r="EX22" s="60"/>
      <c r="EY22" s="60"/>
      <c r="EZ22" s="60"/>
      <c r="FA22" s="60"/>
      <c r="FB22" s="60"/>
      <c r="FC22" s="61"/>
      <c r="FD22" s="60"/>
      <c r="FE22" s="60"/>
      <c r="FF22" s="60"/>
      <c r="FG22" s="60"/>
      <c r="FH22" s="60"/>
      <c r="FI22" s="60"/>
      <c r="FJ22" s="2"/>
      <c r="FK22" s="2"/>
      <c r="FL22" s="2"/>
      <c r="FM22" s="2"/>
    </row>
    <row r="23" spans="1:169" ht="21.95" customHeight="1" thickBot="1" x14ac:dyDescent="0.25">
      <c r="A23" s="503"/>
      <c r="B23" s="577" t="s">
        <v>4</v>
      </c>
      <c r="C23" s="503"/>
      <c r="D23" s="503"/>
      <c r="E23" s="503"/>
      <c r="F23" s="503"/>
      <c r="G23" s="503"/>
      <c r="H23" s="506"/>
      <c r="I23" s="506"/>
      <c r="J23" s="506"/>
      <c r="K23" s="578" t="s">
        <v>3</v>
      </c>
      <c r="L23" s="579"/>
      <c r="M23" s="580" t="str">
        <f>IF(AB23=AB22,K23,IF(AB23&gt;AB22,""))</f>
        <v/>
      </c>
      <c r="N23" s="506"/>
      <c r="O23" s="833" t="s">
        <v>18</v>
      </c>
      <c r="P23" s="834"/>
      <c r="Q23" s="834"/>
      <c r="R23" s="834"/>
      <c r="S23" s="834"/>
      <c r="T23" s="834"/>
      <c r="U23" s="834"/>
      <c r="V23" s="835"/>
      <c r="W23" s="573"/>
      <c r="X23" s="581" t="str">
        <f>IF(M23="OK",BK9,"")</f>
        <v/>
      </c>
      <c r="Y23" s="582" t="str">
        <f>IF(M23="OK",BK10,"")</f>
        <v/>
      </c>
      <c r="Z23" s="582" t="str">
        <f>IF(M23="OK",BK11,"")</f>
        <v/>
      </c>
      <c r="AA23" s="583" t="str">
        <f>IF(M23="OK",BK12,"")</f>
        <v/>
      </c>
      <c r="AB23" s="604">
        <v>6</v>
      </c>
      <c r="AC23" s="81">
        <f>IF(AF10&lt;&gt;" ",AF10," ")</f>
        <v>2</v>
      </c>
      <c r="AD23" s="82">
        <f>IF(AF12&lt;&gt;" ",AF12," ")</f>
        <v>4</v>
      </c>
      <c r="AE23" s="53" t="str">
        <f t="shared" si="5"/>
        <v xml:space="preserve"> </v>
      </c>
      <c r="AF23" s="84">
        <f t="shared" si="6"/>
        <v>0</v>
      </c>
      <c r="AG23" s="85">
        <f t="shared" si="7"/>
        <v>0</v>
      </c>
      <c r="AH23" s="82">
        <f t="shared" si="8"/>
        <v>0</v>
      </c>
      <c r="AI23" s="85">
        <f t="shared" si="9"/>
        <v>0</v>
      </c>
      <c r="AJ23" s="86">
        <f t="shared" si="10"/>
        <v>0</v>
      </c>
      <c r="AK23" s="85">
        <f t="shared" si="11"/>
        <v>0</v>
      </c>
      <c r="AL23" s="86">
        <f t="shared" si="12"/>
        <v>0</v>
      </c>
      <c r="AM23" s="85">
        <f t="shared" si="13"/>
        <v>0</v>
      </c>
      <c r="AN23" s="86">
        <f t="shared" si="14"/>
        <v>0</v>
      </c>
      <c r="AO23" s="87">
        <f t="shared" si="15"/>
        <v>0</v>
      </c>
      <c r="AP23" s="10"/>
      <c r="AQ23" s="12">
        <f>IF(BI23&gt;0,1,0)</f>
        <v>0</v>
      </c>
      <c r="AR23" s="91"/>
      <c r="AS23" s="26">
        <f>IF(BI23&lt;0,1,0)</f>
        <v>0</v>
      </c>
      <c r="AT23" s="24"/>
      <c r="AU23" s="60"/>
      <c r="AV23" s="2"/>
      <c r="AW23" s="2"/>
      <c r="AX23" s="2"/>
      <c r="AY23" s="13"/>
      <c r="AZ23" s="18">
        <f>IF(BI23&gt;0,1,0)</f>
        <v>0</v>
      </c>
      <c r="BB23" s="30">
        <f>IF(BI23&lt;0,1,0)</f>
        <v>0</v>
      </c>
      <c r="BC23" s="33">
        <f t="shared" si="16"/>
        <v>0</v>
      </c>
      <c r="BD23" s="33">
        <f t="shared" si="17"/>
        <v>0</v>
      </c>
      <c r="BE23" s="33">
        <f t="shared" si="18"/>
        <v>0</v>
      </c>
      <c r="BF23" s="33">
        <f t="shared" si="19"/>
        <v>0</v>
      </c>
      <c r="BG23" s="33">
        <f t="shared" si="20"/>
        <v>0</v>
      </c>
      <c r="BH23" s="33" t="str">
        <f t="shared" si="21"/>
        <v>M</v>
      </c>
      <c r="BI23" s="33">
        <f t="shared" si="22"/>
        <v>0</v>
      </c>
      <c r="BJ23" s="33"/>
      <c r="BK23" s="33"/>
      <c r="BL23" s="33" t="e">
        <f t="shared" si="23"/>
        <v>#VALUE!</v>
      </c>
      <c r="BM23" s="33">
        <f t="shared" si="24"/>
        <v>0</v>
      </c>
      <c r="BN23" s="33"/>
      <c r="BO23" s="50"/>
      <c r="BQ23" s="1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1"/>
      <c r="CE23" s="61"/>
      <c r="CF23" s="59">
        <f t="shared" si="3"/>
        <v>0</v>
      </c>
      <c r="CG23" s="34">
        <f t="shared" si="4"/>
        <v>0</v>
      </c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0"/>
      <c r="CT23" s="60"/>
      <c r="CU23" s="60"/>
      <c r="CV23" s="60"/>
      <c r="CW23" s="60"/>
      <c r="CX23" s="60"/>
      <c r="CY23" s="59"/>
      <c r="CZ23" s="61"/>
      <c r="DA23" s="60"/>
      <c r="DB23" s="60"/>
      <c r="DC23" s="60"/>
      <c r="DD23" s="60"/>
      <c r="DE23" s="60"/>
      <c r="DF23" s="61"/>
      <c r="DG23" s="60"/>
      <c r="DH23" s="60"/>
      <c r="DI23" s="60"/>
      <c r="DJ23" s="60"/>
      <c r="DK23" s="60"/>
      <c r="DL23" s="60"/>
      <c r="DM23" s="61"/>
      <c r="DN23" s="60"/>
      <c r="DO23" s="60"/>
      <c r="DP23" s="60"/>
      <c r="DQ23" s="60"/>
      <c r="DR23" s="60"/>
      <c r="DS23" s="60"/>
      <c r="DT23" s="62"/>
      <c r="DU23" s="59"/>
      <c r="DV23" s="2"/>
      <c r="DW23" s="62"/>
      <c r="DX23" s="59"/>
      <c r="DY23" s="59"/>
      <c r="DZ23" s="62"/>
      <c r="EA23" s="62"/>
      <c r="EB23" s="59" t="e">
        <f>IF(EG18&gt;0,DZ18/EG18,"???")</f>
        <v>#VALUE!</v>
      </c>
      <c r="EC23" s="59" t="e">
        <f>IF(EG19&gt;0,DZ19/EG19,"???")</f>
        <v>#VALUE!</v>
      </c>
      <c r="ED23" s="59" t="e">
        <f>IF(EG20&gt;0,DZ20/EG20,"???")</f>
        <v>#VALUE!</v>
      </c>
      <c r="EE23" s="59" t="e">
        <f>IF(EG21&gt;0,DZ21/EG21,"???")</f>
        <v>#VALUE!</v>
      </c>
      <c r="EF23" s="59" t="str">
        <f>IF(EG22&gt;0,DZ22/EG22,"???")</f>
        <v>???</v>
      </c>
      <c r="EG23" s="59"/>
      <c r="EH23" s="61"/>
      <c r="EI23" s="60"/>
      <c r="EJ23" s="60"/>
      <c r="EK23" s="60"/>
      <c r="EL23" s="60"/>
      <c r="EM23" s="60"/>
      <c r="EN23" s="59">
        <f>SUM(EI23:EM23)</f>
        <v>0</v>
      </c>
      <c r="EO23" s="61"/>
      <c r="EP23" s="62" t="e">
        <f>IF(EU18&gt;0,EN18/EU18,"???")</f>
        <v>#VALUE!</v>
      </c>
      <c r="EQ23" s="62" t="e">
        <f>IF(EU19&gt;0,EN19/EU19,"???")</f>
        <v>#VALUE!</v>
      </c>
      <c r="ER23" s="62" t="e">
        <f>IF(EU20&gt;0,EN20/EU20,"???")</f>
        <v>#VALUE!</v>
      </c>
      <c r="ES23" s="62" t="e">
        <f>IF(EU21&gt;0,EN21/EU21,"???")</f>
        <v>#VALUE!</v>
      </c>
      <c r="ET23" s="62" t="str">
        <f>IF(EU22&gt;0,EN22/EU22,"???")</f>
        <v>???</v>
      </c>
      <c r="EU23" s="59"/>
      <c r="EV23" s="61"/>
      <c r="EW23" s="60"/>
      <c r="EX23" s="60"/>
      <c r="EY23" s="60"/>
      <c r="EZ23" s="60"/>
      <c r="FA23" s="60"/>
      <c r="FB23" s="95" t="e">
        <f>SUM(FB18:FB22)</f>
        <v>#VALUE!</v>
      </c>
      <c r="FC23" s="61"/>
      <c r="FD23" s="60"/>
      <c r="FF23" s="60"/>
      <c r="FG23" s="60"/>
      <c r="FH23" s="60"/>
      <c r="FI23" s="95" t="e">
        <f>SUM(FI18:FI22)</f>
        <v>#VALUE!</v>
      </c>
      <c r="FJ23" s="2"/>
      <c r="FK23" s="2"/>
      <c r="FL23" s="2"/>
      <c r="FM23" s="2"/>
    </row>
    <row r="24" spans="1:169" ht="27.95" customHeight="1" thickBo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6"/>
      <c r="AC24" s="90">
        <f>IF(AF9&lt;&gt;" ",AF9," ")</f>
        <v>1</v>
      </c>
      <c r="AD24" s="41">
        <f>IF(AF10&lt;&gt;" ",AF10," ")</f>
        <v>2</v>
      </c>
      <c r="AE24" s="53" t="str">
        <f t="shared" si="5"/>
        <v xml:space="preserve"> </v>
      </c>
      <c r="AF24" s="84">
        <f t="shared" si="6"/>
        <v>0</v>
      </c>
      <c r="AG24" s="85">
        <f t="shared" si="7"/>
        <v>0</v>
      </c>
      <c r="AH24" s="82">
        <f t="shared" si="8"/>
        <v>0</v>
      </c>
      <c r="AI24" s="85">
        <f t="shared" si="9"/>
        <v>0</v>
      </c>
      <c r="AJ24" s="86">
        <f t="shared" si="10"/>
        <v>0</v>
      </c>
      <c r="AK24" s="85">
        <f t="shared" si="11"/>
        <v>0</v>
      </c>
      <c r="AL24" s="86">
        <f t="shared" si="12"/>
        <v>0</v>
      </c>
      <c r="AM24" s="85">
        <f t="shared" si="13"/>
        <v>0</v>
      </c>
      <c r="AN24" s="86">
        <f t="shared" si="14"/>
        <v>0</v>
      </c>
      <c r="AO24" s="87">
        <f t="shared" si="15"/>
        <v>0</v>
      </c>
      <c r="AP24" s="16">
        <f>IF(BI24&gt;0,1,0)</f>
        <v>0</v>
      </c>
      <c r="AQ24" s="12">
        <f>IF(BI24&lt;0,1,0)</f>
        <v>0</v>
      </c>
      <c r="AR24" s="28"/>
      <c r="AT24" s="24"/>
      <c r="AU24" s="60"/>
      <c r="AV24" s="2"/>
      <c r="AW24" s="2"/>
      <c r="AX24" s="2"/>
      <c r="AY24" s="17">
        <f>IF(BI24&gt;0,1,0)</f>
        <v>0</v>
      </c>
      <c r="AZ24" s="18">
        <f>IF(BI24&lt;0,1,0)</f>
        <v>0</v>
      </c>
      <c r="BA24" s="14"/>
      <c r="BB24" s="96"/>
      <c r="BC24" s="33">
        <f t="shared" si="16"/>
        <v>0</v>
      </c>
      <c r="BD24" s="33">
        <f t="shared" si="17"/>
        <v>0</v>
      </c>
      <c r="BE24" s="33">
        <f t="shared" si="18"/>
        <v>0</v>
      </c>
      <c r="BF24" s="33">
        <f t="shared" si="19"/>
        <v>0</v>
      </c>
      <c r="BG24" s="33">
        <f t="shared" si="20"/>
        <v>0</v>
      </c>
      <c r="BH24" s="33" t="str">
        <f t="shared" si="21"/>
        <v>M</v>
      </c>
      <c r="BI24" s="33">
        <f t="shared" si="22"/>
        <v>0</v>
      </c>
      <c r="BJ24" s="33"/>
      <c r="BK24" s="33"/>
      <c r="BL24" s="33" t="e">
        <f t="shared" si="23"/>
        <v>#VALUE!</v>
      </c>
      <c r="BM24" s="33">
        <f t="shared" si="24"/>
        <v>0</v>
      </c>
      <c r="BN24" s="33"/>
      <c r="BO24" s="50"/>
      <c r="BQ24" s="1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59">
        <f t="shared" si="3"/>
        <v>0</v>
      </c>
      <c r="CG24" s="34">
        <f t="shared" si="4"/>
        <v>0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59"/>
      <c r="CZ24" s="61"/>
      <c r="DA24" s="60"/>
      <c r="DB24" s="60"/>
      <c r="DC24" s="60"/>
      <c r="DD24" s="60"/>
      <c r="DE24" s="60"/>
      <c r="DF24" s="60"/>
      <c r="DG24" s="60"/>
      <c r="DH24" s="61"/>
      <c r="DI24" s="60"/>
      <c r="DJ24" s="60"/>
      <c r="DK24" s="60"/>
      <c r="DL24" s="60"/>
      <c r="DM24" s="61"/>
      <c r="DN24" s="60"/>
      <c r="DO24" s="60"/>
      <c r="DP24" s="60"/>
      <c r="DQ24" s="60"/>
      <c r="DR24" s="60"/>
      <c r="DS24" s="60"/>
      <c r="DT24" s="62"/>
      <c r="DU24" s="59"/>
      <c r="DV24" s="59"/>
      <c r="DW24" s="59"/>
      <c r="DX24" s="59"/>
      <c r="DY24" s="59"/>
      <c r="DZ24" s="60"/>
      <c r="EA24" s="62"/>
      <c r="EH24" s="61"/>
      <c r="EI24" s="61"/>
      <c r="EJ24" s="61"/>
      <c r="EK24" s="61"/>
      <c r="EL24" s="61"/>
      <c r="EM24" s="61"/>
      <c r="EN24" s="59">
        <f>SUM(EI24:EM24)</f>
        <v>0</v>
      </c>
      <c r="EO24" s="2"/>
      <c r="EP24" s="2"/>
      <c r="EQ24" s="2"/>
      <c r="ER24" s="2"/>
      <c r="ES24" s="2"/>
      <c r="ET24" s="2"/>
      <c r="EU24" s="2"/>
      <c r="EV24" s="61"/>
      <c r="EW24" s="60"/>
      <c r="EX24" s="60"/>
      <c r="EY24" s="59"/>
      <c r="EZ24" s="60"/>
      <c r="FA24" s="60"/>
      <c r="FB24" s="60"/>
      <c r="FC24" s="61"/>
      <c r="FD24" s="60"/>
      <c r="FE24" s="62"/>
      <c r="FF24" s="60"/>
      <c r="FG24" s="60"/>
      <c r="FH24" s="60"/>
      <c r="FI24" s="60"/>
      <c r="FJ24" s="2"/>
      <c r="FK24" s="2"/>
      <c r="FL24" s="2"/>
      <c r="FM24" s="2"/>
    </row>
    <row r="25" spans="1:169" ht="27.95" customHeight="1" thickBot="1" x14ac:dyDescent="0.25">
      <c r="A25" s="881" t="s">
        <v>289</v>
      </c>
      <c r="B25" s="882"/>
      <c r="C25" s="870" t="str">
        <f>IF($AB22&lt;6,"",IF($X23=1,C9,IF($Y23=1,C10,IF($Z23=1,C11,IF($AA23=1,C12)))))</f>
        <v/>
      </c>
      <c r="D25" s="871"/>
      <c r="E25" s="811" t="str">
        <f>IF(C25="","",VLOOKUP(C25,liste!$A$9:$G$145,2,FALSE))</f>
        <v/>
      </c>
      <c r="F25" s="812"/>
      <c r="G25" s="812"/>
      <c r="H25" s="812"/>
      <c r="I25" s="813"/>
      <c r="J25" s="584" t="str">
        <f>IF(C25="","",VLOOKUP(C25,liste!$A$9:$G$145,4,FALSE))</f>
        <v/>
      </c>
      <c r="K25" s="811" t="str">
        <f>IF(C25="","",VLOOKUP(C25,liste!$A$9:$G$145,3,FALSE))</f>
        <v/>
      </c>
      <c r="L25" s="812"/>
      <c r="M25" s="812"/>
      <c r="N25" s="813"/>
      <c r="O25" s="513"/>
      <c r="P25" s="892" t="s">
        <v>294</v>
      </c>
      <c r="Q25" s="892"/>
      <c r="R25" s="892"/>
      <c r="S25" s="504"/>
      <c r="T25" s="504"/>
      <c r="U25" s="504"/>
      <c r="V25" s="504"/>
      <c r="W25" s="504"/>
      <c r="X25" s="504"/>
      <c r="Y25" s="504"/>
      <c r="Z25" s="504"/>
      <c r="AA25" s="506"/>
      <c r="AC25" s="90">
        <f>IF(AF11&lt;&gt;" ",AF11," ")</f>
        <v>3</v>
      </c>
      <c r="AD25" s="41">
        <f>IF(AF12&lt;&gt;" ",AF12," ")</f>
        <v>4</v>
      </c>
      <c r="AE25" s="53" t="str">
        <f t="shared" si="5"/>
        <v xml:space="preserve"> </v>
      </c>
      <c r="AF25" s="84">
        <f t="shared" si="6"/>
        <v>0</v>
      </c>
      <c r="AG25" s="85">
        <f t="shared" si="7"/>
        <v>0</v>
      </c>
      <c r="AH25" s="82">
        <f t="shared" si="8"/>
        <v>0</v>
      </c>
      <c r="AI25" s="85">
        <f t="shared" si="9"/>
        <v>0</v>
      </c>
      <c r="AJ25" s="86">
        <f t="shared" si="10"/>
        <v>0</v>
      </c>
      <c r="AK25" s="85">
        <f t="shared" si="11"/>
        <v>0</v>
      </c>
      <c r="AL25" s="86">
        <f t="shared" si="12"/>
        <v>0</v>
      </c>
      <c r="AM25" s="85">
        <f t="shared" si="13"/>
        <v>0</v>
      </c>
      <c r="AN25" s="86">
        <f t="shared" si="14"/>
        <v>0</v>
      </c>
      <c r="AO25" s="87">
        <f t="shared" si="15"/>
        <v>0</v>
      </c>
      <c r="AP25" s="10"/>
      <c r="AR25" s="12">
        <f>IF(BI25&gt;0,1,0)</f>
        <v>0</v>
      </c>
      <c r="AS25" s="27">
        <f>IF(BI25&lt;0,1,0)</f>
        <v>0</v>
      </c>
      <c r="AT25" s="88"/>
      <c r="AU25" s="60"/>
      <c r="AV25" s="2"/>
      <c r="AW25" s="2"/>
      <c r="AX25" s="2"/>
      <c r="AY25" s="19"/>
      <c r="AZ25" s="21"/>
      <c r="BA25" s="20">
        <f>IF(BI25&gt;0,1,0)</f>
        <v>0</v>
      </c>
      <c r="BB25" s="20">
        <f>IF(BI25&lt;0,1,0)</f>
        <v>0</v>
      </c>
      <c r="BC25" s="97">
        <f t="shared" si="16"/>
        <v>0</v>
      </c>
      <c r="BD25" s="97">
        <f t="shared" si="17"/>
        <v>0</v>
      </c>
      <c r="BE25" s="97">
        <f t="shared" si="18"/>
        <v>0</v>
      </c>
      <c r="BF25" s="97">
        <f t="shared" si="19"/>
        <v>0</v>
      </c>
      <c r="BG25" s="97">
        <f t="shared" si="20"/>
        <v>0</v>
      </c>
      <c r="BH25" s="97" t="str">
        <f t="shared" si="21"/>
        <v>M</v>
      </c>
      <c r="BI25" s="97">
        <f t="shared" si="22"/>
        <v>0</v>
      </c>
      <c r="BJ25" s="97"/>
      <c r="BK25" s="97"/>
      <c r="BL25" s="97" t="e">
        <f t="shared" si="23"/>
        <v>#VALUE!</v>
      </c>
      <c r="BM25" s="97">
        <f t="shared" si="24"/>
        <v>0</v>
      </c>
      <c r="BN25" s="97"/>
      <c r="BO25" s="98"/>
      <c r="BQ25" s="1"/>
      <c r="BR25" s="62"/>
      <c r="BS25" s="62">
        <f t="shared" si="2"/>
        <v>0</v>
      </c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59"/>
      <c r="DB25" s="59"/>
      <c r="DC25" s="59"/>
      <c r="DD25" s="59"/>
      <c r="DE25" s="59"/>
      <c r="DF25" s="59"/>
      <c r="DG25" s="62"/>
      <c r="DH25" s="62"/>
      <c r="DI25" s="59"/>
      <c r="DJ25" s="59"/>
      <c r="DK25" s="59"/>
      <c r="DL25" s="59"/>
      <c r="DM25" s="59"/>
      <c r="DN25" s="59"/>
      <c r="DO25" s="62"/>
      <c r="DP25" s="62"/>
      <c r="DQ25" s="59"/>
      <c r="DR25" s="59"/>
      <c r="DS25" s="59"/>
      <c r="DT25" s="2"/>
      <c r="DU25" s="2"/>
      <c r="DV25" s="2"/>
      <c r="DW25" s="2"/>
      <c r="DX25" s="2"/>
      <c r="DY25" s="2"/>
      <c r="DZ25" s="2"/>
      <c r="EA25" s="62"/>
      <c r="EB25" s="2"/>
      <c r="EC25" s="2"/>
      <c r="ED25" s="2"/>
      <c r="EE25" s="2"/>
      <c r="EF25" s="2"/>
      <c r="EG25" s="60"/>
      <c r="EH25" s="62"/>
      <c r="EI25" s="62"/>
      <c r="EJ25" s="62"/>
      <c r="EK25" s="62"/>
      <c r="EL25" s="62"/>
      <c r="EM25" s="62"/>
      <c r="EN25" s="62"/>
      <c r="EO25" s="2"/>
      <c r="EP25" s="2"/>
      <c r="EQ25" s="2"/>
      <c r="ER25" s="2"/>
      <c r="ES25" s="2"/>
      <c r="ET25" s="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F25" s="62"/>
      <c r="FG25" s="62"/>
      <c r="FH25" s="62"/>
      <c r="FI25" s="62"/>
      <c r="FJ25" s="2"/>
      <c r="FK25" s="2"/>
      <c r="FL25" s="2"/>
      <c r="FM25" s="2"/>
    </row>
    <row r="26" spans="1:169" ht="27.95" customHeight="1" thickTop="1" thickBot="1" x14ac:dyDescent="0.25">
      <c r="A26" s="877" t="s">
        <v>290</v>
      </c>
      <c r="B26" s="878"/>
      <c r="C26" s="868" t="str">
        <f>IF($AB22&lt;6,"",IF($X23=2,C9,IF($Y23=2,C10,IF($Z23=2,C11,IF($AA23=2,C12)))))</f>
        <v/>
      </c>
      <c r="D26" s="869"/>
      <c r="E26" s="804" t="str">
        <f>IF(C26="","",VLOOKUP(C26,liste!$A$9:$G$145,2,FALSE))</f>
        <v/>
      </c>
      <c r="F26" s="805"/>
      <c r="G26" s="805"/>
      <c r="H26" s="805"/>
      <c r="I26" s="806"/>
      <c r="J26" s="585" t="str">
        <f>IF(C26="","",VLOOKUP(C26,liste!$A$9:$G$145,4,FALSE))</f>
        <v/>
      </c>
      <c r="K26" s="804" t="str">
        <f>IF(C26="","",VLOOKUP(C26,liste!$A$9:$G$145,3,FALSE))</f>
        <v/>
      </c>
      <c r="L26" s="805"/>
      <c r="M26" s="805"/>
      <c r="N26" s="806"/>
      <c r="O26" s="504"/>
      <c r="P26" s="825">
        <f>liste!$B$145</f>
        <v>0</v>
      </c>
      <c r="Q26" s="825"/>
      <c r="R26" s="825"/>
      <c r="S26" s="825"/>
      <c r="T26" s="825"/>
      <c r="U26" s="825"/>
      <c r="V26" s="504"/>
      <c r="W26" s="504"/>
      <c r="X26" s="504"/>
      <c r="Y26" s="504"/>
      <c r="Z26" s="504"/>
      <c r="AA26" s="506"/>
      <c r="AC26" s="99"/>
      <c r="AD26" s="100"/>
      <c r="AE26" s="100"/>
      <c r="AF26" s="101"/>
      <c r="AG26" s="101"/>
      <c r="AH26" s="101"/>
      <c r="AI26" s="101"/>
      <c r="AJ26" s="102"/>
      <c r="AK26" s="102"/>
      <c r="AL26" s="103"/>
      <c r="AM26" s="102" t="s">
        <v>72</v>
      </c>
      <c r="AN26" s="101"/>
      <c r="AO26" s="104"/>
      <c r="AP26" s="105">
        <f>SUM(AP20:AP25)</f>
        <v>0</v>
      </c>
      <c r="AQ26" s="106">
        <f>SUM(AQ20:AQ25)</f>
        <v>0</v>
      </c>
      <c r="AR26" s="106">
        <f>SUM(AR20:AR25)</f>
        <v>0</v>
      </c>
      <c r="AS26" s="107">
        <f>SUM(AS20:AS25)</f>
        <v>0</v>
      </c>
      <c r="AT26" s="108">
        <f>SUM(AT20:AT25)</f>
        <v>0</v>
      </c>
      <c r="AU26" s="60"/>
      <c r="AV26" s="2"/>
      <c r="AW26" s="2"/>
      <c r="AX26" s="2"/>
      <c r="AY26" s="22"/>
      <c r="AZ26" s="23"/>
      <c r="BA26" s="23"/>
      <c r="BB26" s="23"/>
      <c r="BC26" s="23"/>
      <c r="BD26" s="60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62"/>
      <c r="BS26" s="62">
        <f t="shared" si="2"/>
        <v>0</v>
      </c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59"/>
      <c r="DB26" s="59"/>
      <c r="DC26" s="59"/>
      <c r="DD26" s="59"/>
      <c r="DE26" s="59"/>
      <c r="DF26" s="59"/>
      <c r="DG26" s="62"/>
      <c r="DH26" s="62"/>
      <c r="DI26" s="59"/>
      <c r="DJ26" s="59"/>
      <c r="DK26" s="59"/>
      <c r="DL26" s="59"/>
      <c r="DM26" s="59"/>
      <c r="DN26" s="59"/>
      <c r="DO26" s="62"/>
      <c r="DP26" s="62"/>
      <c r="DQ26" s="59"/>
      <c r="DR26" s="59"/>
      <c r="DS26" s="59"/>
      <c r="DT26" s="59"/>
      <c r="DU26" s="59"/>
      <c r="DV26" s="59"/>
      <c r="DW26" s="62"/>
      <c r="DX26" s="62"/>
      <c r="DY26" s="59"/>
      <c r="DZ26" s="59"/>
      <c r="EA26" s="2"/>
      <c r="EB26" s="59"/>
      <c r="EC26" s="59"/>
      <c r="ED26" s="59"/>
      <c r="EE26" s="62">
        <f>SUM(DY26:ED26)</f>
        <v>0</v>
      </c>
      <c r="EF26" s="62"/>
      <c r="EG26" s="2"/>
      <c r="EH26" s="62"/>
      <c r="EI26" s="62"/>
      <c r="EJ26" s="62"/>
      <c r="EK26" s="62"/>
      <c r="EL26" s="62"/>
      <c r="EM26" s="62"/>
      <c r="EN26" s="62"/>
      <c r="EO26" s="2"/>
      <c r="EP26" s="2"/>
      <c r="EQ26" s="2"/>
      <c r="ER26" s="2"/>
      <c r="ES26" s="2"/>
      <c r="ET26" s="2"/>
      <c r="EU26" s="62"/>
      <c r="EV26" s="62"/>
      <c r="EW26" s="2"/>
      <c r="EX26" s="2"/>
      <c r="EY26" s="2"/>
      <c r="EZ26" s="2"/>
      <c r="FA26" s="2"/>
      <c r="FB26" s="2"/>
      <c r="FC26" s="62"/>
      <c r="FD26" s="62"/>
      <c r="FE26" s="62"/>
      <c r="FF26" s="62"/>
      <c r="FG26" s="62"/>
      <c r="FH26" s="62"/>
      <c r="FI26" s="62"/>
      <c r="FJ26" s="2"/>
      <c r="FK26" s="2"/>
      <c r="FL26" s="2"/>
      <c r="FM26" s="2"/>
    </row>
    <row r="27" spans="1:169" ht="27.95" customHeight="1" thickTop="1" x14ac:dyDescent="0.2">
      <c r="A27" s="877" t="s">
        <v>291</v>
      </c>
      <c r="B27" s="878"/>
      <c r="C27" s="868" t="str">
        <f>IF($AB22&lt;6,"",IF($X23=3,C9,IF($Y23=3,C10,IF($Z23=3,C11,IF($AA23=3,C12)))))</f>
        <v/>
      </c>
      <c r="D27" s="869"/>
      <c r="E27" s="804" t="str">
        <f>IF(C27="","",VLOOKUP(C27,liste!$A$9:$G$145,2,FALSE))</f>
        <v/>
      </c>
      <c r="F27" s="805"/>
      <c r="G27" s="805"/>
      <c r="H27" s="805"/>
      <c r="I27" s="806"/>
      <c r="J27" s="585" t="str">
        <f>IF(C27="","",VLOOKUP(C27,liste!$A$9:$G$145,4,FALSE))</f>
        <v/>
      </c>
      <c r="K27" s="804" t="str">
        <f>IF(C27="","",VLOOKUP(C27,liste!$A$9:$G$145,3,FALSE))</f>
        <v/>
      </c>
      <c r="L27" s="805"/>
      <c r="M27" s="805"/>
      <c r="N27" s="806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6"/>
      <c r="AU27" s="60"/>
      <c r="AV27" s="2"/>
      <c r="AW27" s="2"/>
      <c r="AX27" s="2"/>
      <c r="AY27" s="23"/>
      <c r="AZ27" s="23"/>
      <c r="BA27" s="23"/>
      <c r="BB27" s="23"/>
      <c r="BC27" s="23"/>
      <c r="BD27" s="60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59"/>
      <c r="DB27" s="59"/>
      <c r="DC27" s="59"/>
      <c r="DD27" s="59"/>
      <c r="DE27" s="59"/>
      <c r="DF27" s="59"/>
      <c r="DG27" s="62"/>
      <c r="DH27" s="62"/>
      <c r="DI27" s="59"/>
      <c r="DJ27" s="59"/>
      <c r="DK27" s="59"/>
      <c r="DL27" s="59"/>
      <c r="DM27" s="59"/>
      <c r="DN27" s="59"/>
      <c r="DO27" s="62"/>
      <c r="DP27" s="62"/>
      <c r="DQ27" s="59"/>
      <c r="DR27" s="59"/>
      <c r="DS27" s="59"/>
      <c r="DT27" s="59"/>
      <c r="DU27" s="59"/>
      <c r="DV27" s="59"/>
      <c r="DW27" s="62"/>
      <c r="DX27" s="62"/>
      <c r="DY27" s="59"/>
      <c r="DZ27" s="59"/>
      <c r="EA27" s="59"/>
      <c r="EB27" s="59"/>
      <c r="EC27" s="59"/>
      <c r="ED27" s="59"/>
      <c r="EE27" s="62">
        <f>SUM(DY27:ED27)</f>
        <v>0</v>
      </c>
      <c r="EF27" s="62"/>
      <c r="EG27" s="35"/>
      <c r="EH27" s="35"/>
      <c r="EI27" s="35"/>
      <c r="EJ27" s="35"/>
      <c r="EK27" s="35"/>
      <c r="EL27" s="35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2"/>
      <c r="FK27" s="2"/>
      <c r="FL27" s="2"/>
      <c r="FM27" s="2"/>
    </row>
    <row r="28" spans="1:169" ht="21.95" customHeight="1" thickBot="1" x14ac:dyDescent="0.25">
      <c r="A28" s="888" t="s">
        <v>292</v>
      </c>
      <c r="B28" s="889"/>
      <c r="C28" s="860" t="str">
        <f>IF($AB22&lt;6,"",IF($X23=4,C9,IF($Y23=4,C10,IF($Z23=4,C11,IF(AA23=4,C12)))))</f>
        <v/>
      </c>
      <c r="D28" s="861"/>
      <c r="E28" s="814" t="str">
        <f>IF(C28="","",VLOOKUP(C28,liste!$A$9:$G$145,2,FALSE))</f>
        <v/>
      </c>
      <c r="F28" s="815"/>
      <c r="G28" s="815"/>
      <c r="H28" s="815"/>
      <c r="I28" s="816"/>
      <c r="J28" s="586" t="str">
        <f>IF(C28="","",VLOOKUP(C28,liste!$A$9:$G$145,4,FALSE))</f>
        <v/>
      </c>
      <c r="K28" s="814" t="str">
        <f>IF(C28="","",VLOOKUP(C28,liste!$A$9:$G$145,3,FALSE))</f>
        <v/>
      </c>
      <c r="L28" s="815"/>
      <c r="M28" s="815"/>
      <c r="N28" s="81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U28" s="60"/>
      <c r="AV28" s="2"/>
      <c r="AW28" s="2"/>
      <c r="AX28" s="2"/>
      <c r="AY28" s="22"/>
      <c r="AZ28" s="23"/>
      <c r="BA28" s="23"/>
      <c r="BB28" s="23"/>
      <c r="BC28" s="23"/>
      <c r="BD28" s="60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35"/>
      <c r="CG28" s="35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 t="s">
        <v>5</v>
      </c>
      <c r="CT28" s="62" t="s">
        <v>5</v>
      </c>
      <c r="CU28" s="62"/>
      <c r="CV28" s="62"/>
      <c r="CW28" s="62" t="s">
        <v>5</v>
      </c>
      <c r="CX28" s="62" t="s">
        <v>5</v>
      </c>
      <c r="CY28" s="62"/>
      <c r="CZ28" s="62"/>
      <c r="DA28" s="59" t="s">
        <v>5</v>
      </c>
      <c r="DB28" s="59" t="s">
        <v>5</v>
      </c>
      <c r="DC28" s="59"/>
      <c r="DD28" s="59"/>
      <c r="DE28" s="59" t="s">
        <v>5</v>
      </c>
      <c r="DF28" s="59" t="s">
        <v>5</v>
      </c>
      <c r="DG28" s="62"/>
      <c r="DH28" s="62"/>
      <c r="DI28" s="59" t="s">
        <v>5</v>
      </c>
      <c r="DJ28" s="59" t="s">
        <v>5</v>
      </c>
      <c r="DK28" s="59"/>
      <c r="DL28" s="59"/>
      <c r="DM28" s="59" t="s">
        <v>5</v>
      </c>
      <c r="DN28" s="59" t="s">
        <v>5</v>
      </c>
      <c r="DO28" s="62"/>
      <c r="DP28" s="62"/>
      <c r="DQ28" s="59" t="s">
        <v>5</v>
      </c>
      <c r="DR28" s="59" t="s">
        <v>5</v>
      </c>
      <c r="DS28" s="59"/>
      <c r="DT28" s="59"/>
      <c r="DU28" s="59" t="s">
        <v>5</v>
      </c>
      <c r="DV28" s="59" t="s">
        <v>5</v>
      </c>
      <c r="DW28" s="62"/>
      <c r="DX28" s="62"/>
      <c r="DY28" s="59" t="s">
        <v>5</v>
      </c>
      <c r="DZ28" s="59" t="s">
        <v>71</v>
      </c>
      <c r="EA28" s="59" t="s">
        <v>5</v>
      </c>
      <c r="EB28" s="59"/>
      <c r="EC28" s="59"/>
      <c r="ED28" s="59" t="s">
        <v>5</v>
      </c>
      <c r="EE28" s="62">
        <f>SUM(DY28:ED28)</f>
        <v>0</v>
      </c>
      <c r="EF28" s="62"/>
      <c r="EG28" s="62"/>
      <c r="EH28" s="62"/>
      <c r="EI28" s="62"/>
      <c r="EJ28" s="62"/>
      <c r="EK28" s="62"/>
      <c r="EL28" s="62"/>
      <c r="EM28" s="62"/>
      <c r="EN28" s="62"/>
      <c r="EO28" s="62" t="s">
        <v>5</v>
      </c>
      <c r="EP28" s="62" t="s">
        <v>71</v>
      </c>
      <c r="EQ28" s="62" t="s">
        <v>5</v>
      </c>
      <c r="ER28" s="62"/>
      <c r="ES28" s="62"/>
      <c r="ET28" s="62" t="s">
        <v>5</v>
      </c>
      <c r="EU28" s="62"/>
      <c r="EV28" s="62"/>
      <c r="EW28" s="62" t="s">
        <v>5</v>
      </c>
      <c r="EX28" s="62" t="s">
        <v>5</v>
      </c>
      <c r="EY28" s="62"/>
      <c r="EZ28" s="62"/>
      <c r="FA28" s="62" t="s">
        <v>5</v>
      </c>
      <c r="FB28" s="62" t="s">
        <v>5</v>
      </c>
      <c r="FC28" s="62"/>
      <c r="FD28" s="62"/>
      <c r="FE28" s="62"/>
      <c r="FF28" s="62"/>
      <c r="FG28" s="62"/>
      <c r="FH28" s="62"/>
      <c r="FI28" s="62"/>
      <c r="FJ28" s="2"/>
      <c r="FK28" s="2"/>
      <c r="FL28" s="2"/>
      <c r="FM28" s="2"/>
    </row>
    <row r="29" spans="1:169" ht="30" customHeight="1" x14ac:dyDescent="0.2">
      <c r="A29" s="587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U29" s="60"/>
      <c r="AV29" s="2"/>
      <c r="AW29" s="2"/>
      <c r="AX29" s="2"/>
      <c r="AY29" s="23"/>
      <c r="AZ29" s="23"/>
      <c r="BA29" s="23"/>
      <c r="BB29" s="23"/>
      <c r="BC29" s="23"/>
      <c r="BD29" s="60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62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35"/>
      <c r="DH29" s="62"/>
      <c r="DI29" s="59"/>
      <c r="DJ29" s="59"/>
      <c r="DK29" s="59"/>
      <c r="DL29" s="59"/>
      <c r="DM29" s="59"/>
      <c r="DN29" s="59"/>
      <c r="DO29" s="62"/>
      <c r="DP29" s="62"/>
      <c r="DQ29" s="59"/>
      <c r="DR29" s="59"/>
      <c r="DS29" s="59"/>
      <c r="DT29" s="59"/>
      <c r="DU29" s="59"/>
      <c r="DV29" s="59"/>
      <c r="DW29" s="35"/>
      <c r="DX29" s="62"/>
      <c r="DY29" s="62"/>
      <c r="DZ29" s="62"/>
      <c r="EA29" s="62"/>
      <c r="EB29" s="62"/>
      <c r="EC29" s="62"/>
      <c r="ED29" s="62"/>
      <c r="EE29" s="62">
        <f>SUM(DY29:ED29)</f>
        <v>0</v>
      </c>
      <c r="EF29" s="62"/>
      <c r="EG29" s="2"/>
      <c r="EH29" s="2"/>
      <c r="EI29" s="2"/>
      <c r="EJ29" s="2"/>
      <c r="EK29" s="2"/>
      <c r="EL29" s="2"/>
      <c r="EM29" s="35"/>
      <c r="EN29" s="62"/>
      <c r="EO29" s="62"/>
      <c r="EP29" s="62"/>
      <c r="EQ29" s="62"/>
      <c r="ER29" s="62"/>
      <c r="ES29" s="62"/>
      <c r="ET29" s="62"/>
      <c r="EU29" s="35"/>
      <c r="EV29" s="62"/>
      <c r="EW29" s="62"/>
      <c r="EX29" s="62"/>
      <c r="EY29" s="62"/>
      <c r="EZ29" s="62"/>
      <c r="FA29" s="62"/>
      <c r="FB29" s="62"/>
      <c r="FC29" s="35"/>
      <c r="FD29" s="62"/>
      <c r="FE29" s="62"/>
      <c r="FF29" s="62"/>
      <c r="FG29" s="62"/>
      <c r="FH29" s="62"/>
      <c r="FI29" s="62"/>
      <c r="FJ29" s="2"/>
      <c r="FK29" s="2"/>
      <c r="FL29" s="2"/>
      <c r="FM29" s="2"/>
    </row>
    <row r="30" spans="1:169" ht="30" customHeight="1" x14ac:dyDescent="0.2">
      <c r="A30" s="893" t="str">
        <f>$A$1</f>
        <v>Circuit décathlon</v>
      </c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C30" s="2"/>
      <c r="AD30" s="2"/>
      <c r="AE30" s="2"/>
      <c r="AF30" s="2"/>
      <c r="AG30" s="602"/>
      <c r="AH30" s="602"/>
      <c r="AI30" s="602"/>
      <c r="AJ30" s="602"/>
      <c r="AK30" s="602"/>
      <c r="AL30" s="602"/>
      <c r="AM30" s="602"/>
      <c r="AN30" s="602"/>
      <c r="AO30" s="602"/>
      <c r="AP30" s="602"/>
      <c r="AQ30" s="602"/>
      <c r="AR30" s="602"/>
      <c r="AS30" s="602"/>
      <c r="AT30" s="60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</row>
    <row r="31" spans="1:169" ht="21.95" customHeight="1" x14ac:dyDescent="0.2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C31" s="2"/>
      <c r="AD31" s="2"/>
      <c r="AE31" s="2"/>
      <c r="AF31" s="2"/>
      <c r="AG31" s="602"/>
      <c r="AH31" s="602"/>
      <c r="AI31" s="602"/>
      <c r="AJ31" s="602"/>
      <c r="AK31" s="602"/>
      <c r="AL31" s="602"/>
      <c r="AM31" s="602"/>
      <c r="AN31" s="602"/>
      <c r="AO31" s="602"/>
      <c r="AP31" s="602"/>
      <c r="AQ31" s="602"/>
      <c r="AR31" s="602"/>
      <c r="AS31" s="602"/>
      <c r="AT31" s="60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</row>
    <row r="32" spans="1:169" ht="21.95" customHeight="1" x14ac:dyDescent="0.2">
      <c r="A32" s="502"/>
      <c r="B32" s="503"/>
      <c r="C32" s="504"/>
      <c r="D32" s="504"/>
      <c r="E32" s="504"/>
      <c r="F32" s="504"/>
      <c r="G32" s="503"/>
      <c r="H32" s="505"/>
      <c r="I32" s="506"/>
      <c r="J32" s="506"/>
      <c r="K32" s="506"/>
      <c r="L32" s="507"/>
      <c r="M32" s="506"/>
      <c r="N32" s="506"/>
      <c r="O32" s="508"/>
      <c r="P32" s="508"/>
      <c r="Q32" s="508"/>
      <c r="R32" s="508"/>
      <c r="S32" s="508"/>
      <c r="T32" s="504"/>
      <c r="U32" s="505"/>
      <c r="V32" s="505"/>
      <c r="W32" s="504"/>
      <c r="X32" s="504"/>
      <c r="Y32" s="504"/>
      <c r="Z32" s="504"/>
      <c r="AA32" s="50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</row>
    <row r="33" spans="1:169" ht="21.95" customHeight="1" x14ac:dyDescent="0.2">
      <c r="A33" s="503"/>
      <c r="B33" s="503"/>
      <c r="C33" s="504"/>
      <c r="D33" s="503"/>
      <c r="E33" s="509" t="s">
        <v>6</v>
      </c>
      <c r="F33" s="894" t="str">
        <f>$F$4</f>
        <v>Champagné</v>
      </c>
      <c r="G33" s="894"/>
      <c r="H33" s="894"/>
      <c r="I33" s="894"/>
      <c r="J33" s="894"/>
      <c r="K33" s="506"/>
      <c r="L33" s="506"/>
      <c r="M33" s="506"/>
      <c r="N33" s="508"/>
      <c r="O33" s="508"/>
      <c r="P33" s="508"/>
      <c r="Q33" s="508"/>
      <c r="R33" s="508"/>
      <c r="S33" s="509" t="s">
        <v>7</v>
      </c>
      <c r="T33" s="846">
        <f>$T$4</f>
        <v>43421</v>
      </c>
      <c r="U33" s="846"/>
      <c r="V33" s="846"/>
      <c r="W33" s="846"/>
      <c r="X33" s="846"/>
      <c r="Y33" s="846"/>
      <c r="Z33" s="510"/>
      <c r="AA33" s="506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</row>
    <row r="34" spans="1:169" ht="21.95" customHeight="1" x14ac:dyDescent="0.2">
      <c r="A34" s="503"/>
      <c r="B34" s="503"/>
      <c r="C34" s="503"/>
      <c r="D34" s="503"/>
      <c r="E34" s="503"/>
      <c r="F34" s="503"/>
      <c r="G34" s="506"/>
      <c r="H34" s="506"/>
      <c r="I34" s="506"/>
      <c r="J34" s="506"/>
      <c r="K34" s="506"/>
      <c r="L34" s="506"/>
      <c r="M34" s="506"/>
      <c r="N34" s="508"/>
      <c r="O34" s="508"/>
      <c r="P34" s="508"/>
      <c r="Q34" s="508"/>
      <c r="R34" s="508"/>
      <c r="S34" s="508"/>
      <c r="T34" s="508"/>
      <c r="U34" s="508"/>
      <c r="V34" s="506"/>
      <c r="W34" s="504"/>
      <c r="X34" s="504"/>
      <c r="Y34" s="504"/>
      <c r="Z34" s="506"/>
      <c r="AA34" s="506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</row>
    <row r="35" spans="1:169" ht="21.95" customHeight="1" x14ac:dyDescent="0.2">
      <c r="A35" s="502"/>
      <c r="B35" s="503"/>
      <c r="C35" s="503"/>
      <c r="D35" s="503"/>
      <c r="E35" s="509" t="s">
        <v>11</v>
      </c>
      <c r="F35" s="885" t="str">
        <f>F6</f>
        <v>Minimes</v>
      </c>
      <c r="G35" s="885"/>
      <c r="H35" s="885"/>
      <c r="I35" s="885"/>
      <c r="J35" s="885"/>
      <c r="K35" s="885"/>
      <c r="L35" s="511" t="s">
        <v>2</v>
      </c>
      <c r="M35" s="512" t="s">
        <v>35</v>
      </c>
      <c r="N35" s="504"/>
      <c r="O35" s="513" t="s">
        <v>287</v>
      </c>
      <c r="P35" s="503"/>
      <c r="Q35" s="512">
        <f>Rens!C8</f>
        <v>0</v>
      </c>
      <c r="R35" s="503"/>
      <c r="S35" s="503"/>
      <c r="T35" s="508"/>
      <c r="U35" s="513"/>
      <c r="V35" s="514" t="s">
        <v>171</v>
      </c>
      <c r="W35" s="504"/>
      <c r="X35" s="895" t="str">
        <f>Rens!$E$1</f>
        <v>2018/2019</v>
      </c>
      <c r="Y35" s="895"/>
      <c r="Z35" s="895"/>
      <c r="AA35" s="511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</row>
    <row r="36" spans="1:169" ht="21.95" customHeight="1" thickBot="1" x14ac:dyDescent="0.25">
      <c r="A36" s="503"/>
      <c r="B36" s="503"/>
      <c r="C36" s="503"/>
      <c r="D36" s="503"/>
      <c r="E36" s="503"/>
      <c r="F36" s="503"/>
      <c r="G36" s="503"/>
      <c r="H36" s="506"/>
      <c r="I36" s="506"/>
      <c r="J36" s="506"/>
      <c r="K36" s="506"/>
      <c r="L36" s="506"/>
      <c r="M36" s="506"/>
      <c r="N36" s="506"/>
      <c r="O36" s="508"/>
      <c r="P36" s="508"/>
      <c r="Q36" s="508"/>
      <c r="R36" s="508"/>
      <c r="S36" s="508"/>
      <c r="T36" s="508"/>
      <c r="U36" s="508"/>
      <c r="V36" s="508"/>
      <c r="W36" s="508"/>
      <c r="X36" s="506"/>
      <c r="Y36" s="506"/>
      <c r="Z36" s="506"/>
      <c r="AA36" s="506"/>
      <c r="AC36" s="2"/>
      <c r="AD36" s="2"/>
      <c r="AE36" s="31" t="s">
        <v>58</v>
      </c>
      <c r="AF36" s="32"/>
      <c r="AG36" s="32"/>
      <c r="AH36" s="32"/>
      <c r="AI36" s="33" t="s">
        <v>22</v>
      </c>
      <c r="AJ36" s="31" t="s">
        <v>5</v>
      </c>
      <c r="AK36" s="32"/>
      <c r="AL36" s="31" t="s">
        <v>23</v>
      </c>
      <c r="AM36" s="32"/>
      <c r="AN36" s="32"/>
      <c r="AO36" s="32"/>
      <c r="AP36" s="32"/>
      <c r="AQ36" s="32" t="str">
        <f>IF(AI36&lt;&gt;" ",AI36," ")</f>
        <v>IG1</v>
      </c>
      <c r="AR36" s="32"/>
      <c r="AS36" s="64"/>
      <c r="AT36" s="35"/>
      <c r="AU36" s="35"/>
      <c r="AV36" s="35"/>
      <c r="AW36" s="35"/>
      <c r="AX36" s="35"/>
      <c r="AY36" s="35" t="s">
        <v>5</v>
      </c>
      <c r="AZ36" s="35"/>
      <c r="BA36" s="35" t="s">
        <v>24</v>
      </c>
      <c r="BB36" s="35"/>
      <c r="BC36" s="35"/>
      <c r="BD36" s="35"/>
      <c r="BE36" s="35"/>
      <c r="BF36" s="35"/>
      <c r="BG36" s="35"/>
      <c r="BH36" s="34" t="s">
        <v>10</v>
      </c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2"/>
      <c r="FK36" s="2"/>
      <c r="FL36" s="2"/>
      <c r="FM36" s="2"/>
    </row>
    <row r="37" spans="1:169" ht="24.95" customHeight="1" thickBot="1" x14ac:dyDescent="0.25">
      <c r="A37" s="511"/>
      <c r="B37" s="511"/>
      <c r="C37" s="836" t="s">
        <v>8</v>
      </c>
      <c r="D37" s="838"/>
      <c r="E37" s="837"/>
      <c r="F37" s="836" t="s">
        <v>16</v>
      </c>
      <c r="G37" s="838"/>
      <c r="H37" s="837"/>
      <c r="I37" s="836" t="s">
        <v>20</v>
      </c>
      <c r="J37" s="838"/>
      <c r="K37" s="838"/>
      <c r="L37" s="838"/>
      <c r="M37" s="838"/>
      <c r="N37" s="837"/>
      <c r="O37" s="836" t="s">
        <v>4</v>
      </c>
      <c r="P37" s="837"/>
      <c r="Q37" s="836" t="s">
        <v>12</v>
      </c>
      <c r="R37" s="838"/>
      <c r="S37" s="838"/>
      <c r="T37" s="838"/>
      <c r="U37" s="838"/>
      <c r="V37" s="838"/>
      <c r="W37" s="838"/>
      <c r="X37" s="838"/>
      <c r="Y37" s="837"/>
      <c r="Z37" s="836" t="s">
        <v>286</v>
      </c>
      <c r="AA37" s="837"/>
      <c r="AC37" s="2"/>
      <c r="AD37" s="2"/>
      <c r="AE37" s="31" t="s">
        <v>5</v>
      </c>
      <c r="AF37" s="31"/>
      <c r="AG37" s="33" t="s">
        <v>14</v>
      </c>
      <c r="AH37" s="31"/>
      <c r="AI37" s="31"/>
      <c r="AJ37" s="31"/>
      <c r="AK37" s="31"/>
      <c r="AL37" s="31" t="s">
        <v>5</v>
      </c>
      <c r="AM37" s="31"/>
      <c r="AN37" s="32"/>
      <c r="AO37" s="32"/>
      <c r="AP37" s="32"/>
      <c r="AQ37" s="32"/>
      <c r="AR37" s="32"/>
      <c r="AS37" s="64"/>
      <c r="AT37" s="35"/>
      <c r="AU37" s="35"/>
      <c r="AV37" s="35"/>
      <c r="AW37" s="35"/>
      <c r="AX37" s="35"/>
      <c r="AY37" s="35" t="s">
        <v>10</v>
      </c>
      <c r="AZ37" s="35"/>
      <c r="BA37" s="35" t="s">
        <v>25</v>
      </c>
      <c r="BB37" s="34" t="s">
        <v>26</v>
      </c>
      <c r="BC37" s="34" t="s">
        <v>27</v>
      </c>
      <c r="BD37" s="34" t="s">
        <v>28</v>
      </c>
      <c r="BE37" s="34" t="s">
        <v>29</v>
      </c>
      <c r="BF37" s="35" t="s">
        <v>30</v>
      </c>
      <c r="BG37" s="35"/>
      <c r="BH37" s="34" t="s">
        <v>31</v>
      </c>
      <c r="BI37" s="35"/>
      <c r="BJ37" s="35"/>
      <c r="BK37" s="35" t="s">
        <v>32</v>
      </c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2"/>
      <c r="FK37" s="2"/>
      <c r="FL37" s="2"/>
      <c r="FM37" s="2"/>
    </row>
    <row r="38" spans="1:169" ht="27.95" customHeight="1" x14ac:dyDescent="0.2">
      <c r="A38" s="807">
        <v>1</v>
      </c>
      <c r="B38" s="890"/>
      <c r="C38" s="862">
        <f>liste!A10</f>
        <v>2</v>
      </c>
      <c r="D38" s="863"/>
      <c r="E38" s="864"/>
      <c r="F38" s="811">
        <f>IF(C38="","",VLOOKUP(C38,liste!$A$9:$G$145,7,FALSE))</f>
        <v>7223092</v>
      </c>
      <c r="G38" s="812" t="e">
        <f>IF(F38="","",VLOOKUP(F38,liste!$A$9:$G$145,7,FALSE))</f>
        <v>#N/A</v>
      </c>
      <c r="H38" s="813" t="e">
        <f>IF(G38="","",VLOOKUP(G38,liste!$A$9:$G$145,7,FALSE))</f>
        <v>#N/A</v>
      </c>
      <c r="I38" s="849" t="str">
        <f>IF(C38="","",VLOOKUP(C38,liste!$A$9:$G$145,2,FALSE))</f>
        <v>HATTON Pierre</v>
      </c>
      <c r="J38" s="850"/>
      <c r="K38" s="850"/>
      <c r="L38" s="850"/>
      <c r="M38" s="850"/>
      <c r="N38" s="851"/>
      <c r="O38" s="883">
        <f>IF(C38="","",VLOOKUP(C38,liste!$A$9:$G$145,4,FALSE))</f>
        <v>5</v>
      </c>
      <c r="P38" s="884" t="str">
        <f>IF(J38="","",VLOOKUP(J38,liste!$A$9:$G$145,4,FALSE))</f>
        <v/>
      </c>
      <c r="Q38" s="857" t="str">
        <f>IF(C38="","",VLOOKUP(C38,liste!$A$9:$G$145,3,FALSE))</f>
        <v>LAIGNE ST GERVAIS CO</v>
      </c>
      <c r="R38" s="858"/>
      <c r="S38" s="858"/>
      <c r="T38" s="858"/>
      <c r="U38" s="858"/>
      <c r="V38" s="858"/>
      <c r="W38" s="858"/>
      <c r="X38" s="858"/>
      <c r="Y38" s="859"/>
      <c r="Z38" s="857">
        <f>IF(C38="","",VLOOKUP(C38,liste!$A$9:$G$145,6,FALSE))</f>
        <v>500</v>
      </c>
      <c r="AA38" s="859" t="str">
        <f>IF(U38="","",VLOOKUP(U38,liste!$A$9:$G$145,4,FALSE))</f>
        <v/>
      </c>
      <c r="AB38" s="603" t="str">
        <f>"B"&amp;X52&amp;C38</f>
        <v>B2</v>
      </c>
      <c r="AC38" s="2"/>
      <c r="AD38" s="2"/>
      <c r="AE38" s="31" t="s">
        <v>33</v>
      </c>
      <c r="AF38" s="33">
        <v>1</v>
      </c>
      <c r="AG38" s="65">
        <f>C38</f>
        <v>2</v>
      </c>
      <c r="AH38" s="31" t="s">
        <v>5</v>
      </c>
      <c r="AI38" s="31" t="s">
        <v>5</v>
      </c>
      <c r="AJ38" s="31"/>
      <c r="AK38" s="31"/>
      <c r="AL38" s="31" t="s">
        <v>34</v>
      </c>
      <c r="AM38" s="31" t="e">
        <f>IF($BK$38=1,$AF$38,IF($BK$39=1,$AF$39,IF($BK$40=1,$AF$40,IF($BK$41=1,$AF$41,""))))</f>
        <v>#VALUE!</v>
      </c>
      <c r="AN38" s="32"/>
      <c r="AO38" s="36" t="e">
        <f>VLOOKUP(AM38,AF38:AG41,2)</f>
        <v>#VALUE!</v>
      </c>
      <c r="AP38" s="32"/>
      <c r="AQ38" s="32"/>
      <c r="AR38" s="32"/>
      <c r="AS38" s="64" t="s">
        <v>5</v>
      </c>
      <c r="AT38" s="35"/>
      <c r="AU38" s="35"/>
      <c r="AV38" s="66" t="e">
        <f>BH38</f>
        <v>#VALUE!</v>
      </c>
      <c r="AW38" s="35"/>
      <c r="AX38" s="35" t="s">
        <v>33</v>
      </c>
      <c r="AY38" s="35" t="e">
        <f>CF47</f>
        <v>#VALUE!</v>
      </c>
      <c r="AZ38" s="35"/>
      <c r="BA38" s="34" t="e">
        <f>IF(DE47&gt;0,CX47/DE47,IF(CX47&gt;0,CX47/1,0))</f>
        <v>#VALUE!</v>
      </c>
      <c r="BB38" s="34" t="e">
        <f>IF(DS47&gt;0,IF(BA38=0,0,DL47/DS47),IF(DL47&gt;0,DL47/1,0))</f>
        <v>#VALUE!</v>
      </c>
      <c r="BC38" s="35" t="e">
        <f>IF(BA38&lt;&gt;0,IF(EG47&gt;0,DZ47/EG47,0),0)</f>
        <v>#VALUE!</v>
      </c>
      <c r="BD38" s="35" t="s">
        <v>5</v>
      </c>
      <c r="BE38" s="34" t="e">
        <f>IF(EU47&gt;0,IF(BC38=0,0,EN47/EU47),IF(EN47&gt;0,EN47/1,0))</f>
        <v>#VALUE!</v>
      </c>
      <c r="BF38" s="34" t="e">
        <f>IF(BE38&lt;&gt;0,IF(FI47&gt;0,FB47/FI47,0),0)</f>
        <v>#VALUE!</v>
      </c>
      <c r="BG38" s="34" t="s">
        <v>33</v>
      </c>
      <c r="BH38" s="37" t="e">
        <f>AY38+BA38*0.01+BB38*0.0001+BC38*0.000001+BE38*0.00000001+BF38*0.0000000001</f>
        <v>#VALUE!</v>
      </c>
      <c r="BI38" s="35"/>
      <c r="BJ38" s="35"/>
      <c r="BK38" s="34" t="e">
        <f>RANK(BH38,BH38:BH44,)</f>
        <v>#VALUE!</v>
      </c>
      <c r="BL38" s="34"/>
      <c r="BM38" s="34"/>
      <c r="BN38" s="34"/>
      <c r="BO38" s="34" t="e">
        <f>IF(BH38=MIN(BH38:BH43),4,IF(BH38=MAX(BH38:BH43),1,0))</f>
        <v>#VALUE!</v>
      </c>
      <c r="BP38" s="34" t="e">
        <f>IF(BO38=0,BH38,0)</f>
        <v>#VALUE!</v>
      </c>
      <c r="BQ38" s="34" t="e">
        <f>IF(BP38&lt;&gt;0,IF(BP38=MAX(BP38:BP43),2,IF(BP38=MIN(BP38:BP43),3,0)),0)</f>
        <v>#VALUE!</v>
      </c>
      <c r="BR38" s="34" t="e">
        <f>IF(AND(BO38=0,BQ38=0),3,0)</f>
        <v>#VALUE!</v>
      </c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2"/>
      <c r="FK38" s="2"/>
      <c r="FL38" s="2"/>
      <c r="FM38" s="2"/>
    </row>
    <row r="39" spans="1:169" ht="27.95" customHeight="1" x14ac:dyDescent="0.2">
      <c r="A39" s="809">
        <v>2</v>
      </c>
      <c r="B39" s="879"/>
      <c r="C39" s="801">
        <v>15</v>
      </c>
      <c r="D39" s="802"/>
      <c r="E39" s="803"/>
      <c r="F39" s="804">
        <f>IF(C39="","",VLOOKUP(C39,liste!$A$9:$G$145,7,FALSE))</f>
        <v>7223034</v>
      </c>
      <c r="G39" s="805" t="e">
        <f>IF(F39="","",VLOOKUP(F39,liste!$A$9:$G$145,7,FALSE))</f>
        <v>#N/A</v>
      </c>
      <c r="H39" s="806" t="e">
        <f>IF(G39="","",VLOOKUP(G39,liste!$A$9:$G$145,7,FALSE))</f>
        <v>#N/A</v>
      </c>
      <c r="I39" s="852" t="str">
        <f>IF(C39="","",VLOOKUP(C39,liste!$A$9:$G$145,2,FALSE))</f>
        <v>GILOUPPE Louis</v>
      </c>
      <c r="J39" s="853"/>
      <c r="K39" s="853"/>
      <c r="L39" s="853"/>
      <c r="M39" s="853"/>
      <c r="N39" s="854"/>
      <c r="O39" s="855">
        <f>IF(C39="","",VLOOKUP(C39,liste!$A$9:$G$145,4,FALSE))</f>
        <v>5</v>
      </c>
      <c r="P39" s="856" t="str">
        <f>IF(J39="","",VLOOKUP(J39,liste!$A$9:$G$145,4,FALSE))</f>
        <v/>
      </c>
      <c r="Q39" s="829" t="str">
        <f>IF(C39="","",VLOOKUP(C39,liste!$A$9:$G$145,3,FALSE))</f>
        <v>FOULLETOURTE T.T.</v>
      </c>
      <c r="R39" s="830"/>
      <c r="S39" s="830"/>
      <c r="T39" s="830"/>
      <c r="U39" s="830"/>
      <c r="V39" s="830"/>
      <c r="W39" s="830"/>
      <c r="X39" s="830"/>
      <c r="Y39" s="831"/>
      <c r="Z39" s="829">
        <f>IF(C39="","",VLOOKUP(C39,liste!$A$9:$G$145,6,FALSE))</f>
        <v>500</v>
      </c>
      <c r="AA39" s="831" t="str">
        <f>IF(U39="","",VLOOKUP(U39,liste!$A$9:$G$145,4,FALSE))</f>
        <v/>
      </c>
      <c r="AB39" s="603" t="str">
        <f>"B"&amp;Y52&amp;C39</f>
        <v>B15</v>
      </c>
      <c r="AC39" s="2"/>
      <c r="AD39" s="2"/>
      <c r="AE39" s="31" t="s">
        <v>35</v>
      </c>
      <c r="AF39" s="33">
        <v>2</v>
      </c>
      <c r="AG39" s="65">
        <f>C39</f>
        <v>15</v>
      </c>
      <c r="AH39" s="31" t="s">
        <v>5</v>
      </c>
      <c r="AI39" s="31" t="s">
        <v>5</v>
      </c>
      <c r="AJ39" s="31"/>
      <c r="AK39" s="31"/>
      <c r="AL39" s="31" t="s">
        <v>59</v>
      </c>
      <c r="AM39" s="31" t="e">
        <f>IF($BK$38=2,$AF$38,IF($BK$39=2,$AF$39,IF($BK$40=2,$AF$40,IF($BK$41=2,$AF$41,""))))</f>
        <v>#VALUE!</v>
      </c>
      <c r="AN39" s="32"/>
      <c r="AO39" s="36" t="e">
        <f>VLOOKUP(AM39,AF38:AG41,2)</f>
        <v>#VALUE!</v>
      </c>
      <c r="AP39" s="32"/>
      <c r="AQ39" s="32"/>
      <c r="AR39" s="32"/>
      <c r="AS39" s="64" t="s">
        <v>5</v>
      </c>
      <c r="AT39" s="35"/>
      <c r="AU39" s="35"/>
      <c r="AV39" s="66" t="e">
        <f>BH39</f>
        <v>#VALUE!</v>
      </c>
      <c r="AW39" s="35"/>
      <c r="AX39" s="35" t="s">
        <v>35</v>
      </c>
      <c r="AY39" s="35" t="e">
        <f>CF48</f>
        <v>#VALUE!</v>
      </c>
      <c r="AZ39" s="35"/>
      <c r="BA39" s="34" t="e">
        <f>IF(DE48&gt;0,CX48/DE48,IF(CX48&gt;0,CX48/1,0))</f>
        <v>#VALUE!</v>
      </c>
      <c r="BB39" s="34" t="e">
        <f>IF(DS48&gt;0,IF(BA39=0,0,DL48/DS48),IF(DL48&gt;0,DL48/1,0))</f>
        <v>#VALUE!</v>
      </c>
      <c r="BC39" s="35" t="e">
        <f>IF(BA39&lt;&gt;0,IF(EG48&gt;0,DZ48/EG48,0),0)</f>
        <v>#VALUE!</v>
      </c>
      <c r="BD39" s="35" t="s">
        <v>5</v>
      </c>
      <c r="BE39" s="34" t="e">
        <f>IF(EU48&gt;0,IF(BC39=0,0,EN48/EU48),IF(EN48&gt;0,EN48/1,0))</f>
        <v>#VALUE!</v>
      </c>
      <c r="BF39" s="34" t="e">
        <f>IF(BE39&lt;&gt;0,IF(FI48&gt;0,FB48/FI48,0),0)</f>
        <v>#VALUE!</v>
      </c>
      <c r="BG39" s="34" t="s">
        <v>35</v>
      </c>
      <c r="BH39" s="37" t="e">
        <f>AY39+BA39*0.01+BB39*0.0001+BC39*0.000001+BE39*0.00000001+BF39*0.0000000001</f>
        <v>#VALUE!</v>
      </c>
      <c r="BI39" s="35"/>
      <c r="BJ39" s="35"/>
      <c r="BK39" s="34" t="e">
        <f>RANK(BH39,BH38:BH44,)</f>
        <v>#VALUE!</v>
      </c>
      <c r="BL39" s="34"/>
      <c r="BM39" s="34"/>
      <c r="BN39" s="34"/>
      <c r="BO39" s="34" t="e">
        <f>IF(BH39=MIN(BH38:BH43),4,IF(BH39=MAX(BH38:BH43),1,0))</f>
        <v>#VALUE!</v>
      </c>
      <c r="BP39" s="34" t="e">
        <f>IF(BO39=0,BH39,0)</f>
        <v>#VALUE!</v>
      </c>
      <c r="BQ39" s="34" t="e">
        <f>IF(BP39&lt;&gt;0,IF(BP39=MAX(BP38:BP43),2,IF(BP39=MIN(BP38:BP43),3,0)),0)</f>
        <v>#VALUE!</v>
      </c>
      <c r="BR39" s="34" t="e">
        <f>IF(AND(BO39=0,BQ39=0),3,0)</f>
        <v>#VALUE!</v>
      </c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2"/>
      <c r="FK39" s="2"/>
      <c r="FL39" s="2"/>
      <c r="FM39" s="2"/>
    </row>
    <row r="40" spans="1:169" ht="27.95" customHeight="1" x14ac:dyDescent="0.2">
      <c r="A40" s="809">
        <v>3</v>
      </c>
      <c r="B40" s="879"/>
      <c r="C40" s="801">
        <f>liste!A26</f>
        <v>18</v>
      </c>
      <c r="D40" s="802"/>
      <c r="E40" s="803"/>
      <c r="F40" s="804">
        <f>IF(C40="","",VLOOKUP(C40,liste!$A$9:$G$145,7,FALSE))</f>
        <v>7223616</v>
      </c>
      <c r="G40" s="805" t="e">
        <f>IF(F40="","",VLOOKUP(F40,liste!$A$9:$G$145,7,FALSE))</f>
        <v>#N/A</v>
      </c>
      <c r="H40" s="806" t="e">
        <f>IF(G40="","",VLOOKUP(G40,liste!$A$9:$G$145,7,FALSE))</f>
        <v>#N/A</v>
      </c>
      <c r="I40" s="852" t="str">
        <f>IF(C40="","",VLOOKUP(C40,liste!$A$9:$G$145,2,FALSE))</f>
        <v>CARRE Zoé</v>
      </c>
      <c r="J40" s="853"/>
      <c r="K40" s="853"/>
      <c r="L40" s="853"/>
      <c r="M40" s="853"/>
      <c r="N40" s="854"/>
      <c r="O40" s="855">
        <f>IF(C40="","",VLOOKUP(C40,liste!$A$9:$G$145,4,FALSE))</f>
        <v>5</v>
      </c>
      <c r="P40" s="856" t="str">
        <f>IF(J40="","",VLOOKUP(J40,liste!$A$9:$G$145,4,FALSE))</f>
        <v/>
      </c>
      <c r="Q40" s="829" t="str">
        <f>IF(C40="","",VLOOKUP(C40,liste!$A$9:$G$145,3,FALSE))</f>
        <v>FERCE US</v>
      </c>
      <c r="R40" s="830"/>
      <c r="S40" s="830"/>
      <c r="T40" s="830"/>
      <c r="U40" s="830"/>
      <c r="V40" s="830"/>
      <c r="W40" s="830"/>
      <c r="X40" s="830"/>
      <c r="Y40" s="831"/>
      <c r="Z40" s="829">
        <f>IF(C40="","",VLOOKUP(C40,liste!$A$9:$G$145,6,FALSE))</f>
        <v>500</v>
      </c>
      <c r="AA40" s="831" t="str">
        <f>IF(U40="","",VLOOKUP(U40,liste!$A$9:$G$145,4,FALSE))</f>
        <v/>
      </c>
      <c r="AB40" s="603" t="str">
        <f>"B"&amp;Z52&amp;C40</f>
        <v>B18</v>
      </c>
      <c r="AC40" s="2"/>
      <c r="AD40" s="2"/>
      <c r="AE40" s="31" t="s">
        <v>36</v>
      </c>
      <c r="AF40" s="33">
        <v>3</v>
      </c>
      <c r="AG40" s="65">
        <f>C40</f>
        <v>18</v>
      </c>
      <c r="AH40" s="31" t="s">
        <v>5</v>
      </c>
      <c r="AI40" s="31" t="s">
        <v>5</v>
      </c>
      <c r="AJ40" s="31"/>
      <c r="AK40" s="31"/>
      <c r="AL40" s="31" t="s">
        <v>60</v>
      </c>
      <c r="AM40" s="31" t="e">
        <f>IF($BK$38=3,$AF$38,IF($BK$39=3,$AF$39,IF($BK$40=3,$AF$40,IF($BK$41=3,$AF$41,""))))</f>
        <v>#VALUE!</v>
      </c>
      <c r="AN40" s="32"/>
      <c r="AO40" s="36" t="e">
        <f>VLOOKUP(AM40,AF38:AG41,2)</f>
        <v>#VALUE!</v>
      </c>
      <c r="AP40" s="32"/>
      <c r="AQ40" s="32"/>
      <c r="AR40" s="32"/>
      <c r="AS40" s="64" t="s">
        <v>5</v>
      </c>
      <c r="AT40" s="35"/>
      <c r="AU40" s="35"/>
      <c r="AV40" s="66" t="e">
        <f>BH40</f>
        <v>#VALUE!</v>
      </c>
      <c r="AW40" s="35"/>
      <c r="AX40" s="35" t="s">
        <v>36</v>
      </c>
      <c r="AY40" s="35" t="e">
        <f>CF49</f>
        <v>#VALUE!</v>
      </c>
      <c r="AZ40" s="35"/>
      <c r="BA40" s="34" t="e">
        <f>IF(DE49&gt;0,CX49/DE49,IF(CX49&gt;0,CX49/1,0))</f>
        <v>#VALUE!</v>
      </c>
      <c r="BB40" s="34" t="e">
        <f>IF(DS49&gt;0,IF(BA40=0,0,DL49/DS49),IF(DL49&gt;0,DL49/1,0))</f>
        <v>#VALUE!</v>
      </c>
      <c r="BC40" s="35" t="e">
        <f>IF(BA40&lt;&gt;0,IF(EG49&gt;0,DZ49/EG49,0),0)</f>
        <v>#VALUE!</v>
      </c>
      <c r="BD40" s="35" t="s">
        <v>5</v>
      </c>
      <c r="BE40" s="34" t="e">
        <f>IF(EU49&gt;0,IF(BC40=0,0,EN49/EU49),IF(EN49&gt;0,EN49/1,0))</f>
        <v>#VALUE!</v>
      </c>
      <c r="BF40" s="34" t="e">
        <f>IF(BE40&lt;&gt;0,IF(FI49&gt;0,FB49/FI49,0),0)</f>
        <v>#VALUE!</v>
      </c>
      <c r="BG40" s="34" t="s">
        <v>36</v>
      </c>
      <c r="BH40" s="37" t="e">
        <f>AY40+BA40*0.01+BB40*0.0001+BC40*0.000001+BE40*0.00000001+BF40*0.0000000001</f>
        <v>#VALUE!</v>
      </c>
      <c r="BI40" s="35"/>
      <c r="BJ40" s="35"/>
      <c r="BK40" s="34" t="e">
        <f>RANK(BH40,BH38:BH44,)</f>
        <v>#VALUE!</v>
      </c>
      <c r="BL40" s="34"/>
      <c r="BM40" s="34"/>
      <c r="BN40" s="34"/>
      <c r="BO40" s="34" t="e">
        <f>IF(BH40=MIN(BH38:BH43),4,IF(BH40=MAX(BH38:BH43),1,0))</f>
        <v>#VALUE!</v>
      </c>
      <c r="BP40" s="34" t="e">
        <f>IF(BO40=0,BH40,0)</f>
        <v>#VALUE!</v>
      </c>
      <c r="BQ40" s="34" t="e">
        <f>IF(BP40&lt;&gt;0,IF(BP40=MAX(BP38:BP43),2,IF(BP40=MIN(BP38:BP43),3,0)),0)</f>
        <v>#VALUE!</v>
      </c>
      <c r="BR40" s="34" t="e">
        <f>IF(AND(BO40=0,BQ40=0),3,0)</f>
        <v>#VALUE!</v>
      </c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2"/>
      <c r="FK40" s="2"/>
      <c r="FL40" s="2"/>
      <c r="FM40" s="2"/>
    </row>
    <row r="41" spans="1:169" ht="27.95" customHeight="1" thickBot="1" x14ac:dyDescent="0.25">
      <c r="A41" s="872">
        <v>4</v>
      </c>
      <c r="B41" s="880"/>
      <c r="C41" s="865">
        <f>liste!A39</f>
        <v>31</v>
      </c>
      <c r="D41" s="866"/>
      <c r="E41" s="867"/>
      <c r="F41" s="814">
        <f>IF(C41="","",VLOOKUP(C41,liste!$A$9:$G$145,7,FALSE))</f>
        <v>0</v>
      </c>
      <c r="G41" s="815" t="e">
        <f>IF(F41="","",VLOOKUP(F41,liste!$A$9:$G$145,7,FALSE))</f>
        <v>#N/A</v>
      </c>
      <c r="H41" s="816" t="e">
        <f>IF(G41="","",VLOOKUP(G41,liste!$A$9:$G$145,7,FALSE))</f>
        <v>#N/A</v>
      </c>
      <c r="I41" s="826">
        <f>IF(C41="","",VLOOKUP(C41,liste!$A$9:$G$145,2,FALSE))</f>
        <v>0</v>
      </c>
      <c r="J41" s="827"/>
      <c r="K41" s="827"/>
      <c r="L41" s="827"/>
      <c r="M41" s="827"/>
      <c r="N41" s="828"/>
      <c r="O41" s="841">
        <f>IF(C41="","",VLOOKUP(C41,liste!$A$9:$G$145,4,FALSE))</f>
        <v>0</v>
      </c>
      <c r="P41" s="842" t="str">
        <f>IF(J41="","",VLOOKUP(J41,liste!$A$9:$G$145,4,FALSE))</f>
        <v/>
      </c>
      <c r="Q41" s="843">
        <f>IF(C41="","",VLOOKUP(C41,liste!$A$9:$G$145,3,FALSE))</f>
        <v>0</v>
      </c>
      <c r="R41" s="844"/>
      <c r="S41" s="844"/>
      <c r="T41" s="844"/>
      <c r="U41" s="844"/>
      <c r="V41" s="844"/>
      <c r="W41" s="844"/>
      <c r="X41" s="844"/>
      <c r="Y41" s="845"/>
      <c r="Z41" s="843">
        <f>IF(C41="","",VLOOKUP(C41,liste!$A$9:$G$145,6,FALSE))</f>
        <v>0</v>
      </c>
      <c r="AA41" s="845" t="str">
        <f>IF(U41="","",VLOOKUP(U41,liste!$A$9:$G$145,4,FALSE))</f>
        <v/>
      </c>
      <c r="AB41" s="603" t="str">
        <f>"B"&amp;AA52&amp;C41</f>
        <v>B31</v>
      </c>
      <c r="AC41" s="2"/>
      <c r="AD41" s="2"/>
      <c r="AE41" s="31" t="s">
        <v>61</v>
      </c>
      <c r="AF41" s="33">
        <v>4</v>
      </c>
      <c r="AG41" s="65">
        <f>C41</f>
        <v>31</v>
      </c>
      <c r="AH41" s="31" t="s">
        <v>5</v>
      </c>
      <c r="AI41" s="31" t="s">
        <v>5</v>
      </c>
      <c r="AJ41" s="31"/>
      <c r="AK41" s="31"/>
      <c r="AL41" s="31" t="s">
        <v>62</v>
      </c>
      <c r="AM41" s="31" t="e">
        <f>IF($BK$38=4,$AF$38,IF($BK$39=4,$AF$39,IF($BK$40=4,$AF$40,IF($BK$41=4,$AF$41,""))))</f>
        <v>#VALUE!</v>
      </c>
      <c r="AN41" s="32"/>
      <c r="AO41" s="36" t="e">
        <f>VLOOKUP(AM41,AF38:AG41,2)</f>
        <v>#VALUE!</v>
      </c>
      <c r="AP41" s="32"/>
      <c r="AQ41" s="32"/>
      <c r="AR41" s="32"/>
      <c r="AS41" s="64" t="s">
        <v>5</v>
      </c>
      <c r="AT41" s="67"/>
      <c r="AU41" s="35"/>
      <c r="AV41" s="66" t="e">
        <f>BH41</f>
        <v>#VALUE!</v>
      </c>
      <c r="AW41" s="35"/>
      <c r="AX41" s="35" t="s">
        <v>61</v>
      </c>
      <c r="AY41" s="35" t="e">
        <f>CF50</f>
        <v>#VALUE!</v>
      </c>
      <c r="AZ41" s="35"/>
      <c r="BA41" s="34" t="e">
        <f>IF(DE50&gt;0,CX50/DE50,IF(CX50&gt;0,CX50/1,0))</f>
        <v>#VALUE!</v>
      </c>
      <c r="BB41" s="34" t="e">
        <f>IF(DS50&gt;0,IF(BA41=0,0,DL50/DS50),IF(DL50&gt;0,DL50/1,0))</f>
        <v>#VALUE!</v>
      </c>
      <c r="BC41" s="35" t="e">
        <f>IF(BA41&lt;&gt;0,IF(EG50&gt;0,DZ50/EG50,0),0)</f>
        <v>#VALUE!</v>
      </c>
      <c r="BD41" s="35" t="s">
        <v>5</v>
      </c>
      <c r="BE41" s="34" t="e">
        <f>IF(EU50&gt;0,IF(BC41=0,0,EN50/EU50),IF(EN50&gt;0,EN50/1,0))</f>
        <v>#VALUE!</v>
      </c>
      <c r="BF41" s="35" t="e">
        <f>IF(BE41&lt;&gt;0,IF(FI50&gt;0,FB50/FI50,0),0)</f>
        <v>#VALUE!</v>
      </c>
      <c r="BG41" s="34" t="s">
        <v>61</v>
      </c>
      <c r="BH41" s="37" t="e">
        <f>AY41+BA41*0.01+BB41*0.0001+BC41*0.000001+BE41*0.00000001+BF41*0.0000000001</f>
        <v>#VALUE!</v>
      </c>
      <c r="BI41" s="35"/>
      <c r="BJ41" s="35"/>
      <c r="BK41" s="34" t="e">
        <f>RANK(BH41,BH38:BH44,)</f>
        <v>#VALUE!</v>
      </c>
      <c r="BL41" s="34"/>
      <c r="BM41" s="34"/>
      <c r="BN41" s="34"/>
      <c r="BO41" s="34" t="e">
        <f>IF(BH41=MIN(BH38:BH43),4,IF(BH41=MAX(BH38:BH43),1,0))</f>
        <v>#VALUE!</v>
      </c>
      <c r="BP41" s="34" t="e">
        <f>IF(BO41=0,BH41,0)</f>
        <v>#VALUE!</v>
      </c>
      <c r="BQ41" s="34" t="e">
        <f>IF(BP41&lt;&gt;0,IF(BP41=MAX(BP38:BP43),2,IF(BP41=MIN(BP38:BP43),3,0)),0)</f>
        <v>#VALUE!</v>
      </c>
      <c r="BR41" s="34" t="e">
        <f>IF(AND(BO41=0,BQ41=0),3,0)</f>
        <v>#VALUE!</v>
      </c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2"/>
      <c r="FK41" s="2"/>
      <c r="FL41" s="2"/>
      <c r="FM41" s="2"/>
    </row>
    <row r="42" spans="1:169" ht="21.95" customHeight="1" thickBot="1" x14ac:dyDescent="0.25">
      <c r="A42" s="503"/>
      <c r="B42" s="503"/>
      <c r="C42" s="503"/>
      <c r="D42" s="503"/>
      <c r="E42" s="503"/>
      <c r="F42" s="503"/>
      <c r="G42" s="503"/>
      <c r="H42" s="506"/>
      <c r="I42" s="506"/>
      <c r="J42" s="506"/>
      <c r="K42" s="506"/>
      <c r="L42" s="506"/>
      <c r="M42" s="506"/>
      <c r="N42" s="506"/>
      <c r="O42" s="508"/>
      <c r="P42" s="508"/>
      <c r="Q42" s="508"/>
      <c r="R42" s="508"/>
      <c r="S42" s="508"/>
      <c r="T42" s="508"/>
      <c r="U42" s="508"/>
      <c r="V42" s="508"/>
      <c r="W42" s="508"/>
      <c r="X42" s="515"/>
      <c r="Y42" s="515"/>
      <c r="Z42" s="515"/>
      <c r="AA42" s="515"/>
      <c r="AC42" s="2"/>
      <c r="AD42" s="2"/>
      <c r="AE42" s="32"/>
      <c r="AF42" s="36"/>
      <c r="AG42" s="32"/>
      <c r="AH42" s="32"/>
      <c r="AI42" s="32"/>
      <c r="AJ42" s="32"/>
      <c r="AK42" s="32"/>
      <c r="AL42" s="32"/>
      <c r="AM42" s="32"/>
      <c r="AN42" s="32"/>
      <c r="AO42" s="36"/>
      <c r="AP42" s="32"/>
      <c r="AQ42" s="32"/>
      <c r="AR42" s="32"/>
      <c r="AS42" s="35"/>
      <c r="AT42" s="35"/>
      <c r="AU42" s="35"/>
      <c r="AV42" s="35"/>
      <c r="AW42" s="35"/>
      <c r="AX42" s="35"/>
      <c r="AY42" s="35"/>
      <c r="AZ42" s="35"/>
      <c r="BA42" s="34"/>
      <c r="BB42" s="34"/>
      <c r="BC42" s="35"/>
      <c r="BD42" s="35"/>
      <c r="BE42" s="34"/>
      <c r="BF42" s="35"/>
      <c r="BG42" s="34"/>
      <c r="BH42" s="37"/>
      <c r="BI42" s="35"/>
      <c r="BJ42" s="35"/>
      <c r="BK42" s="34"/>
      <c r="BL42" s="34"/>
      <c r="BM42" s="34"/>
      <c r="BN42" s="34"/>
      <c r="BO42" s="34"/>
      <c r="BP42" s="34"/>
      <c r="BQ42" s="34"/>
      <c r="BR42" s="34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2"/>
      <c r="FK42" s="2"/>
      <c r="FL42" s="2"/>
      <c r="FM42" s="2"/>
    </row>
    <row r="43" spans="1:169" ht="21.95" customHeight="1" thickBot="1" x14ac:dyDescent="0.25">
      <c r="A43" s="503"/>
      <c r="B43" s="503"/>
      <c r="C43" s="503"/>
      <c r="D43" s="503"/>
      <c r="E43" s="503"/>
      <c r="F43" s="503"/>
      <c r="G43" s="503"/>
      <c r="H43" s="506"/>
      <c r="I43" s="506"/>
      <c r="J43" s="506"/>
      <c r="K43" s="506"/>
      <c r="L43" s="506"/>
      <c r="M43" s="506"/>
      <c r="N43" s="506"/>
      <c r="O43" s="508"/>
      <c r="P43" s="508"/>
      <c r="Q43" s="508"/>
      <c r="R43" s="839" t="s">
        <v>19</v>
      </c>
      <c r="S43" s="840"/>
      <c r="T43" s="840"/>
      <c r="U43" s="840"/>
      <c r="V43" s="840"/>
      <c r="W43" s="516"/>
      <c r="X43" s="836" t="s">
        <v>10</v>
      </c>
      <c r="Y43" s="838"/>
      <c r="Z43" s="838"/>
      <c r="AA43" s="837"/>
      <c r="AC43" s="2"/>
      <c r="AD43" s="2"/>
      <c r="AE43" s="62"/>
      <c r="AF43" s="59"/>
      <c r="AG43" s="62"/>
      <c r="AH43" s="62"/>
      <c r="AI43" s="62"/>
      <c r="AJ43" s="62"/>
      <c r="AK43" s="62"/>
      <c r="AL43" s="62"/>
      <c r="AM43" s="62"/>
      <c r="AN43" s="62"/>
      <c r="AO43" s="59"/>
      <c r="AP43" s="62"/>
      <c r="AQ43" s="62"/>
      <c r="AR43" s="62"/>
      <c r="AS43" s="35"/>
      <c r="AT43" s="35"/>
      <c r="AU43" s="35"/>
      <c r="AV43" s="35"/>
      <c r="AW43" s="35"/>
      <c r="AX43" s="35"/>
      <c r="AY43" s="35"/>
      <c r="AZ43" s="35"/>
      <c r="BA43" s="34"/>
      <c r="BB43" s="34"/>
      <c r="BC43" s="35"/>
      <c r="BD43" s="35"/>
      <c r="BE43" s="35"/>
      <c r="BF43" s="35"/>
      <c r="BG43" s="34"/>
      <c r="BH43" s="37"/>
      <c r="BI43" s="35"/>
      <c r="BJ43" s="35"/>
      <c r="BK43" s="34"/>
      <c r="BL43" s="34"/>
      <c r="BM43" s="34"/>
      <c r="BN43" s="34"/>
      <c r="BO43" s="34"/>
      <c r="BP43" s="34"/>
      <c r="BQ43" s="34"/>
      <c r="BR43" s="34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2"/>
      <c r="FK43" s="2"/>
      <c r="FL43" s="2"/>
      <c r="FM43" s="2"/>
    </row>
    <row r="44" spans="1:169" ht="21.95" customHeight="1" thickBot="1" x14ac:dyDescent="0.25">
      <c r="A44" s="517"/>
      <c r="B44" s="517"/>
      <c r="C44" s="517"/>
      <c r="D44" s="517"/>
      <c r="E44" s="518" t="s">
        <v>181</v>
      </c>
      <c r="F44" s="519" t="s">
        <v>178</v>
      </c>
      <c r="G44" s="517"/>
      <c r="H44" s="515"/>
      <c r="I44" s="515"/>
      <c r="J44" s="515"/>
      <c r="K44" s="515"/>
      <c r="L44" s="515"/>
      <c r="M44" s="515"/>
      <c r="N44" s="515"/>
      <c r="O44" s="520"/>
      <c r="P44" s="520"/>
      <c r="Q44" s="520"/>
      <c r="R44" s="521">
        <v>1</v>
      </c>
      <c r="S44" s="522">
        <v>2</v>
      </c>
      <c r="T44" s="522">
        <v>3</v>
      </c>
      <c r="U44" s="523">
        <v>4</v>
      </c>
      <c r="V44" s="524">
        <v>5</v>
      </c>
      <c r="W44" s="516"/>
      <c r="X44" s="525">
        <v>1</v>
      </c>
      <c r="Y44" s="526">
        <v>2</v>
      </c>
      <c r="Z44" s="526">
        <v>3</v>
      </c>
      <c r="AA44" s="527">
        <v>4</v>
      </c>
      <c r="AC44" s="2"/>
      <c r="AD44" s="2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4"/>
      <c r="BL44" s="34"/>
      <c r="BM44" s="34"/>
      <c r="BN44" s="34"/>
      <c r="BO44" s="34"/>
      <c r="BP44" s="34"/>
      <c r="BQ44" s="34"/>
      <c r="BR44" s="34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2"/>
      <c r="FK44" s="2"/>
      <c r="FL44" s="2"/>
      <c r="FM44" s="2"/>
    </row>
    <row r="45" spans="1:169" ht="27.95" customHeight="1" x14ac:dyDescent="0.2">
      <c r="A45" s="528">
        <v>1</v>
      </c>
      <c r="B45" s="529" t="s">
        <v>13</v>
      </c>
      <c r="C45" s="530">
        <v>4</v>
      </c>
      <c r="D45" s="531" t="str">
        <f>Rens!$F$4</f>
        <v>Sa</v>
      </c>
      <c r="E45" s="532">
        <f>Rens!$B$8</f>
        <v>0</v>
      </c>
      <c r="F45" s="533">
        <f>Rens!$C$8</f>
        <v>0</v>
      </c>
      <c r="G45" s="832" t="str">
        <f t="shared" ref="G45:G50" si="25" xml:space="preserve"> VLOOKUP(A45,$A$38:$O$41,9)</f>
        <v>HATTON Pierre</v>
      </c>
      <c r="H45" s="821"/>
      <c r="I45" s="821"/>
      <c r="J45" s="821"/>
      <c r="K45" s="821"/>
      <c r="L45" s="534" t="s">
        <v>9</v>
      </c>
      <c r="M45" s="821">
        <f t="shared" ref="M45:M50" si="26" xml:space="preserve"> VLOOKUP(C45,$A$38:$O$41,9)</f>
        <v>0</v>
      </c>
      <c r="N45" s="821"/>
      <c r="O45" s="821"/>
      <c r="P45" s="821"/>
      <c r="Q45" s="822"/>
      <c r="R45" s="588"/>
      <c r="S45" s="589"/>
      <c r="T45" s="589"/>
      <c r="U45" s="536"/>
      <c r="V45" s="536"/>
      <c r="W45" s="538"/>
      <c r="X45" s="539" t="str">
        <f>IF(AND(COUNTIF(($R45:$V45),"&gt;0")&gt;=2),1,IF(AND(COUNTIF(($R45:$V45),"&lt;0")&gt;=2),0,blanc))</f>
        <v xml:space="preserve"> </v>
      </c>
      <c r="Y45" s="540"/>
      <c r="Z45" s="540"/>
      <c r="AA45" s="541" t="str">
        <f>IF(AND(X45=0),1,IF(AND(X45=1),0,blanc))</f>
        <v xml:space="preserve"> </v>
      </c>
      <c r="AC45" s="2"/>
      <c r="AD45" s="2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>
        <f>BH45</f>
        <v>0</v>
      </c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 t="s">
        <v>41</v>
      </c>
      <c r="CT45" s="35"/>
      <c r="CU45" s="35"/>
      <c r="CV45" s="35"/>
      <c r="CW45" s="35"/>
      <c r="CX45" s="35"/>
      <c r="CY45" s="35"/>
      <c r="CZ45" s="35" t="s">
        <v>42</v>
      </c>
      <c r="DA45" s="35"/>
      <c r="DB45" s="35"/>
      <c r="DC45" s="35"/>
      <c r="DD45" s="35"/>
      <c r="DE45" s="2"/>
      <c r="DF45" s="35"/>
      <c r="DG45" s="35" t="s">
        <v>54</v>
      </c>
      <c r="DH45" s="35"/>
      <c r="DI45" s="35"/>
      <c r="DJ45" s="35"/>
      <c r="DK45" s="35"/>
      <c r="DL45" s="35"/>
      <c r="DM45" s="35"/>
      <c r="DN45" s="35" t="s">
        <v>55</v>
      </c>
      <c r="DO45" s="35"/>
      <c r="DP45" s="35"/>
      <c r="DQ45" s="35"/>
      <c r="DR45" s="35"/>
      <c r="DS45" s="35"/>
      <c r="DT45" s="35"/>
      <c r="DU45" s="35" t="s">
        <v>43</v>
      </c>
      <c r="DV45" s="35"/>
      <c r="DW45" s="35"/>
      <c r="DX45" s="35"/>
      <c r="DY45" s="35"/>
      <c r="DZ45" s="35"/>
      <c r="EA45" s="35"/>
      <c r="EB45" s="35" t="s">
        <v>44</v>
      </c>
      <c r="EC45" s="35"/>
      <c r="ED45" s="35"/>
      <c r="EE45" s="35"/>
      <c r="EF45" s="35"/>
      <c r="EG45" s="35"/>
      <c r="EH45" s="35"/>
      <c r="EI45" s="35" t="s">
        <v>56</v>
      </c>
      <c r="EJ45" s="35"/>
      <c r="EK45" s="35"/>
      <c r="EL45" s="35"/>
      <c r="EM45" s="35"/>
      <c r="EN45" s="35"/>
      <c r="EO45" s="35"/>
      <c r="EP45" s="35" t="s">
        <v>57</v>
      </c>
      <c r="EQ45" s="35"/>
      <c r="ER45" s="35"/>
      <c r="ES45" s="35"/>
      <c r="ET45" s="35"/>
      <c r="EU45" s="35"/>
      <c r="EV45" s="35"/>
      <c r="EW45" s="35" t="s">
        <v>45</v>
      </c>
      <c r="EX45" s="35"/>
      <c r="EY45" s="35"/>
      <c r="EZ45" s="35"/>
      <c r="FA45" s="35"/>
      <c r="FB45" s="35"/>
      <c r="FC45" s="35"/>
      <c r="FD45" s="35" t="s">
        <v>46</v>
      </c>
      <c r="FE45" s="35"/>
      <c r="FF45" s="35"/>
      <c r="FG45" s="35"/>
      <c r="FH45" s="35"/>
      <c r="FI45" s="35"/>
      <c r="FJ45" s="2"/>
      <c r="FK45" s="2"/>
      <c r="FL45" s="2"/>
      <c r="FM45" s="2"/>
    </row>
    <row r="46" spans="1:169" ht="27.95" customHeight="1" thickBot="1" x14ac:dyDescent="0.25">
      <c r="A46" s="542">
        <v>2</v>
      </c>
      <c r="B46" s="543" t="s">
        <v>13</v>
      </c>
      <c r="C46" s="544">
        <v>3</v>
      </c>
      <c r="D46" s="545"/>
      <c r="E46" s="546">
        <f>E45+0.021</f>
        <v>2.1000000000000001E-2</v>
      </c>
      <c r="F46" s="547">
        <f>F45</f>
        <v>0</v>
      </c>
      <c r="G46" s="817" t="str">
        <f t="shared" si="25"/>
        <v>GILOUPPE Louis</v>
      </c>
      <c r="H46" s="818"/>
      <c r="I46" s="818"/>
      <c r="J46" s="818"/>
      <c r="K46" s="818"/>
      <c r="L46" s="548" t="s">
        <v>9</v>
      </c>
      <c r="M46" s="818" t="str">
        <f t="shared" si="26"/>
        <v>CARRE Zoé</v>
      </c>
      <c r="N46" s="818"/>
      <c r="O46" s="818"/>
      <c r="P46" s="818"/>
      <c r="Q46" s="823"/>
      <c r="R46" s="549"/>
      <c r="S46" s="550"/>
      <c r="T46" s="550"/>
      <c r="U46" s="551"/>
      <c r="V46" s="551"/>
      <c r="W46" s="538"/>
      <c r="X46" s="553"/>
      <c r="Y46" s="554" t="str">
        <f>IF(AND(COUNTIF(($R46:$V46),"&gt;0")&gt;=2),1,IF(AND(COUNTIF(($R46:$V46),"&lt;0")&gt;=2),0,blanc))</f>
        <v xml:space="preserve"> </v>
      </c>
      <c r="Z46" s="554" t="str">
        <f>IF(AND(Y46=0),1,IF(AND(Y46=1),0,blanc))</f>
        <v xml:space="preserve"> </v>
      </c>
      <c r="AA46" s="555"/>
      <c r="AC46" s="2"/>
      <c r="AD46" s="2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 t="s">
        <v>33</v>
      </c>
      <c r="BV46" s="35" t="s">
        <v>5</v>
      </c>
      <c r="BW46" s="35" t="s">
        <v>35</v>
      </c>
      <c r="BX46" s="35"/>
      <c r="BY46" s="35" t="s">
        <v>36</v>
      </c>
      <c r="BZ46" s="35"/>
      <c r="CA46" s="35" t="s">
        <v>61</v>
      </c>
      <c r="CB46" s="35"/>
      <c r="CC46" s="35"/>
      <c r="CD46" s="35"/>
      <c r="CE46" s="35"/>
      <c r="CF46" s="51" t="s">
        <v>52</v>
      </c>
      <c r="CG46" s="51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52" t="s">
        <v>33</v>
      </c>
      <c r="CT46" s="34" t="s">
        <v>35</v>
      </c>
      <c r="CU46" s="34" t="s">
        <v>36</v>
      </c>
      <c r="CV46" s="34" t="s">
        <v>61</v>
      </c>
      <c r="CW46" s="34"/>
      <c r="CX46" s="60"/>
      <c r="CY46" s="35"/>
      <c r="CZ46" s="52" t="s">
        <v>33</v>
      </c>
      <c r="DA46" s="34" t="s">
        <v>35</v>
      </c>
      <c r="DB46" s="34" t="s">
        <v>36</v>
      </c>
      <c r="DC46" s="34" t="s">
        <v>61</v>
      </c>
      <c r="DD46" s="34"/>
      <c r="DE46" s="2"/>
      <c r="DF46" s="35"/>
      <c r="DG46" s="52" t="s">
        <v>33</v>
      </c>
      <c r="DH46" s="34" t="s">
        <v>35</v>
      </c>
      <c r="DI46" s="34" t="s">
        <v>36</v>
      </c>
      <c r="DJ46" s="34" t="s">
        <v>61</v>
      </c>
      <c r="DK46" s="34"/>
      <c r="DL46" s="60"/>
      <c r="DM46" s="35"/>
      <c r="DN46" s="52" t="s">
        <v>33</v>
      </c>
      <c r="DO46" s="34" t="s">
        <v>35</v>
      </c>
      <c r="DP46" s="34" t="s">
        <v>36</v>
      </c>
      <c r="DQ46" s="34" t="s">
        <v>61</v>
      </c>
      <c r="DR46" s="34"/>
      <c r="DS46" s="59"/>
      <c r="DT46" s="2"/>
      <c r="DU46" s="52" t="s">
        <v>33</v>
      </c>
      <c r="DV46" s="34" t="s">
        <v>35</v>
      </c>
      <c r="DW46" s="34" t="s">
        <v>36</v>
      </c>
      <c r="DX46" s="34" t="s">
        <v>61</v>
      </c>
      <c r="DY46" s="34"/>
      <c r="DZ46" s="59"/>
      <c r="EA46" s="2"/>
      <c r="EB46" s="52" t="s">
        <v>33</v>
      </c>
      <c r="EC46" s="34" t="s">
        <v>35</v>
      </c>
      <c r="ED46" s="34" t="s">
        <v>36</v>
      </c>
      <c r="EE46" s="34" t="s">
        <v>61</v>
      </c>
      <c r="EF46" s="34"/>
      <c r="EG46" s="60"/>
      <c r="EH46" s="2"/>
      <c r="EI46" s="52" t="s">
        <v>33</v>
      </c>
      <c r="EJ46" s="34" t="s">
        <v>35</v>
      </c>
      <c r="EK46" s="34" t="s">
        <v>36</v>
      </c>
      <c r="EL46" s="34" t="s">
        <v>61</v>
      </c>
      <c r="EM46" s="34"/>
      <c r="EN46" s="60"/>
      <c r="EO46" s="2"/>
      <c r="EP46" s="52" t="s">
        <v>33</v>
      </c>
      <c r="EQ46" s="34" t="s">
        <v>35</v>
      </c>
      <c r="ER46" s="34" t="s">
        <v>36</v>
      </c>
      <c r="ES46" s="34" t="s">
        <v>61</v>
      </c>
      <c r="ET46" s="34"/>
      <c r="EU46" s="34"/>
      <c r="EV46" s="2"/>
      <c r="EW46" s="52" t="s">
        <v>33</v>
      </c>
      <c r="EX46" s="34" t="s">
        <v>35</v>
      </c>
      <c r="EY46" s="34" t="s">
        <v>36</v>
      </c>
      <c r="EZ46" s="34" t="s">
        <v>61</v>
      </c>
      <c r="FA46" s="34"/>
      <c r="FB46" s="34"/>
      <c r="FC46" s="2"/>
      <c r="FD46" s="52" t="s">
        <v>33</v>
      </c>
      <c r="FE46" s="34" t="s">
        <v>35</v>
      </c>
      <c r="FF46" s="34" t="s">
        <v>36</v>
      </c>
      <c r="FG46" s="34" t="s">
        <v>61</v>
      </c>
      <c r="FH46" s="34"/>
      <c r="FI46" s="60"/>
      <c r="FJ46" s="2"/>
      <c r="FK46" s="2"/>
      <c r="FL46" s="2"/>
      <c r="FM46" s="2"/>
    </row>
    <row r="47" spans="1:169" ht="27.95" customHeight="1" thickTop="1" x14ac:dyDescent="0.2">
      <c r="A47" s="542">
        <v>1</v>
      </c>
      <c r="B47" s="543" t="s">
        <v>13</v>
      </c>
      <c r="C47" s="544">
        <v>3</v>
      </c>
      <c r="D47" s="545" t="str">
        <f>D45</f>
        <v>Sa</v>
      </c>
      <c r="E47" s="546">
        <f>E46+0.021</f>
        <v>4.2000000000000003E-2</v>
      </c>
      <c r="F47" s="547">
        <f>F45</f>
        <v>0</v>
      </c>
      <c r="G47" s="817" t="str">
        <f t="shared" si="25"/>
        <v>HATTON Pierre</v>
      </c>
      <c r="H47" s="818"/>
      <c r="I47" s="818"/>
      <c r="J47" s="818"/>
      <c r="K47" s="818"/>
      <c r="L47" s="548" t="s">
        <v>9</v>
      </c>
      <c r="M47" s="818" t="str">
        <f t="shared" si="26"/>
        <v>CARRE Zoé</v>
      </c>
      <c r="N47" s="818"/>
      <c r="O47" s="818"/>
      <c r="P47" s="818"/>
      <c r="Q47" s="823"/>
      <c r="R47" s="556"/>
      <c r="S47" s="551"/>
      <c r="T47" s="551"/>
      <c r="U47" s="551"/>
      <c r="V47" s="551"/>
      <c r="W47" s="538"/>
      <c r="X47" s="557" t="str">
        <f>IF(AND(COUNTIF(($R47:$V47),"&gt;0")&gt;=2),1,IF(AND(COUNTIF(($R47:$V47),"&lt;0")&gt;=2),0,blanc))</f>
        <v xml:space="preserve"> </v>
      </c>
      <c r="Y47" s="558"/>
      <c r="Z47" s="554" t="str">
        <f>IF(AND(X47=0),1,IF(AND(X47=1),0,blanc))</f>
        <v xml:space="preserve"> </v>
      </c>
      <c r="AA47" s="555"/>
      <c r="AC47" s="68" t="s">
        <v>37</v>
      </c>
      <c r="AD47" s="63" t="str">
        <f>AI36</f>
        <v>IG1</v>
      </c>
      <c r="AE47" s="43"/>
      <c r="AF47" s="69" t="s">
        <v>64</v>
      </c>
      <c r="AG47" s="42"/>
      <c r="AH47" s="69" t="s">
        <v>65</v>
      </c>
      <c r="AI47" s="42"/>
      <c r="AJ47" s="69" t="s">
        <v>66</v>
      </c>
      <c r="AK47" s="42"/>
      <c r="AL47" s="69" t="s">
        <v>67</v>
      </c>
      <c r="AM47" s="70"/>
      <c r="AN47" s="69" t="s">
        <v>68</v>
      </c>
      <c r="AO47" s="71"/>
      <c r="AP47" s="72" t="s">
        <v>38</v>
      </c>
      <c r="AQ47" s="73"/>
      <c r="AR47" s="73"/>
      <c r="AS47" s="73"/>
      <c r="AT47" s="74"/>
      <c r="AU47" s="75"/>
      <c r="AV47" s="4"/>
      <c r="AW47" s="4"/>
      <c r="AX47" s="4"/>
      <c r="AY47" s="76" t="s">
        <v>38</v>
      </c>
      <c r="AZ47" s="43"/>
      <c r="BA47" s="43"/>
      <c r="BB47" s="43"/>
      <c r="BC47" s="44" t="s">
        <v>69</v>
      </c>
      <c r="BD47" s="43"/>
      <c r="BE47" s="43"/>
      <c r="BF47" s="43"/>
      <c r="BG47" s="43"/>
      <c r="BH47" s="43"/>
      <c r="BI47" s="43"/>
      <c r="BJ47" s="43"/>
      <c r="BK47" s="43"/>
      <c r="BL47" s="44" t="s">
        <v>39</v>
      </c>
      <c r="BM47" s="44" t="s">
        <v>40</v>
      </c>
      <c r="BN47" s="44"/>
      <c r="BO47" s="45"/>
      <c r="BQ47" s="1"/>
      <c r="BR47" s="62"/>
      <c r="BS47" s="31" t="str">
        <f>AE38</f>
        <v>A</v>
      </c>
      <c r="BT47" s="77"/>
      <c r="BU47" s="77"/>
      <c r="BV47" s="31" t="str">
        <f>BH53</f>
        <v>M</v>
      </c>
      <c r="BW47" s="31" t="e">
        <f>BL53</f>
        <v>#VALUE!</v>
      </c>
      <c r="BX47" s="31" t="str">
        <f>BH51</f>
        <v>M</v>
      </c>
      <c r="BY47" s="31" t="e">
        <f>BL51</f>
        <v>#VALUE!</v>
      </c>
      <c r="BZ47" s="31" t="str">
        <f>BH49</f>
        <v>M</v>
      </c>
      <c r="CA47" s="56" t="e">
        <f>BL49</f>
        <v>#VALUE!</v>
      </c>
      <c r="CB47" s="62"/>
      <c r="CC47" s="62"/>
      <c r="CD47" s="61"/>
      <c r="CE47" s="61"/>
      <c r="CF47" s="59" t="e">
        <f>SUM(CH47:CL47)</f>
        <v>#VALUE!</v>
      </c>
      <c r="CG47" s="34" t="e">
        <f>SUM(CM47:CQ47)</f>
        <v>#VALUE!</v>
      </c>
      <c r="CH47" s="31" t="e">
        <f>IF(BV47&gt;BW47,1,0)</f>
        <v>#VALUE!</v>
      </c>
      <c r="CI47" s="31" t="e">
        <f>IF(BX47&gt;BY47,1,0)</f>
        <v>#VALUE!</v>
      </c>
      <c r="CJ47" s="31" t="e">
        <f>IF(BZ47&gt;CA47,1,0)</f>
        <v>#VALUE!</v>
      </c>
      <c r="CK47" s="31">
        <f>IF(CB47&gt;CC47,1,0)</f>
        <v>0</v>
      </c>
      <c r="CL47" s="31">
        <f>IF(CD47&gt;CE47,1,0)</f>
        <v>0</v>
      </c>
      <c r="CM47" s="78" t="e">
        <f>IF(BV47&lt;BW47,1,0)</f>
        <v>#VALUE!</v>
      </c>
      <c r="CN47" s="31" t="e">
        <f>IF(BX47&lt;BY47,1,0)</f>
        <v>#VALUE!</v>
      </c>
      <c r="CO47" s="31" t="e">
        <f>IF(BZ47&lt;CA47,1,0)</f>
        <v>#VALUE!</v>
      </c>
      <c r="CP47" s="31">
        <f>IF(CB47&lt;CC47,1,0)</f>
        <v>0</v>
      </c>
      <c r="CQ47" s="31">
        <f>IF(CD47&lt;CE47,1,0)</f>
        <v>0</v>
      </c>
      <c r="CR47" s="31" t="s">
        <v>33</v>
      </c>
      <c r="CS47" s="54" t="s">
        <v>53</v>
      </c>
      <c r="CT47" s="33" t="e">
        <f>IF(CF47=CF48,AY53,"xxx")</f>
        <v>#VALUE!</v>
      </c>
      <c r="CU47" s="33" t="e">
        <f>IF(CF47=CF49,AY51,"xxx")</f>
        <v>#VALUE!</v>
      </c>
      <c r="CV47" s="33" t="e">
        <f>IF(CF47=CF50,AY49,"xxx")</f>
        <v>#VALUE!</v>
      </c>
      <c r="CW47" s="48"/>
      <c r="CX47" s="59" t="e">
        <f>SUM(CS47:CW47)</f>
        <v>#VALUE!</v>
      </c>
      <c r="CY47" s="31" t="s">
        <v>33</v>
      </c>
      <c r="CZ47" s="54" t="s">
        <v>53</v>
      </c>
      <c r="DA47" s="33" t="e">
        <f>IF(CF47=CF48,AZ53,"xxx")</f>
        <v>#VALUE!</v>
      </c>
      <c r="DB47" s="33" t="e">
        <f>IF(CF47=CF49,BA51,"xxx")</f>
        <v>#VALUE!</v>
      </c>
      <c r="DC47" s="33" t="e">
        <f>IF(CF47=CF50,BB49,"xxx")</f>
        <v>#VALUE!</v>
      </c>
      <c r="DD47" s="48"/>
      <c r="DE47" s="59" t="e">
        <f>SUM(CZ47:DD47)</f>
        <v>#VALUE!</v>
      </c>
      <c r="DF47" s="31" t="s">
        <v>33</v>
      </c>
      <c r="DG47" s="54" t="s">
        <v>53</v>
      </c>
      <c r="DH47" s="33" t="e">
        <f>IF(AND(BA38&lt;&gt;0,AY38=AY39),IF(BA38=BA39,AY53,"xxx"),"xxx")</f>
        <v>#VALUE!</v>
      </c>
      <c r="DI47" s="33" t="e">
        <f>IF(AND(BA38&lt;&gt;0,AY38=AY40),IF(BA38=BA40,AY51,"xxx"),"xxx")</f>
        <v>#VALUE!</v>
      </c>
      <c r="DJ47" s="33" t="e">
        <f>IF(AND(BA38&lt;&gt;0,AY38=AY41),IF(BA38=BA41,AY49,"xxx"),"xxx")</f>
        <v>#VALUE!</v>
      </c>
      <c r="DK47" s="48"/>
      <c r="DL47" s="59" t="e">
        <f>SUM(DG47:DK47)</f>
        <v>#VALUE!</v>
      </c>
      <c r="DM47" s="31" t="s">
        <v>33</v>
      </c>
      <c r="DN47" s="54" t="s">
        <v>53</v>
      </c>
      <c r="DO47" s="33" t="e">
        <f>IF(AND(BA38&lt;&gt;0,AY38=AY39),IF(BA38=BA39,AZ53,"xxx"),"xxx")</f>
        <v>#VALUE!</v>
      </c>
      <c r="DP47" s="33" t="e">
        <f>IF(AND(BA38&lt;&gt;0,AY38=AY40),IF(BA38=BA40,BA51,"xxx"),"xxx")</f>
        <v>#VALUE!</v>
      </c>
      <c r="DQ47" s="33" t="e">
        <f>IF(AND(BA38&lt;&gt;0,AY38=AY41),IF(BA38=BA41,BB49,"xxx"),"xxx")</f>
        <v>#VALUE!</v>
      </c>
      <c r="DR47" s="48"/>
      <c r="DS47" s="59" t="e">
        <f>SUM(DN47:DR47)</f>
        <v>#VALUE!</v>
      </c>
      <c r="DT47" s="31" t="s">
        <v>33</v>
      </c>
      <c r="DU47" s="54" t="s">
        <v>53</v>
      </c>
      <c r="DV47" s="33" t="e">
        <f>IF(AND(CF47=CF48,BA38=BA39),BH53,"kkk")</f>
        <v>#VALUE!</v>
      </c>
      <c r="DW47" s="33" t="e">
        <f>IF(AND(CF47=CF49,BA38=BA40),BH51,"kkk")</f>
        <v>#VALUE!</v>
      </c>
      <c r="DX47" s="33" t="e">
        <f>IF(AND(CF47=CF50,BA38=BA41),BH49,"kkk")</f>
        <v>#VALUE!</v>
      </c>
      <c r="DY47" s="48"/>
      <c r="DZ47" s="59" t="e">
        <f>SUM(DU47:DY47)</f>
        <v>#VALUE!</v>
      </c>
      <c r="EA47" s="31" t="s">
        <v>33</v>
      </c>
      <c r="EB47" s="54" t="s">
        <v>53</v>
      </c>
      <c r="EC47" s="33" t="e">
        <f>IF(AND(CF47=CF48,BA38=BA39),BL53,"kkk")</f>
        <v>#VALUE!</v>
      </c>
      <c r="ED47" s="33" t="e">
        <f>IF(AND(CF47=CF49,BA38=BA40),BL51,"kkk")</f>
        <v>#VALUE!</v>
      </c>
      <c r="EE47" s="33" t="e">
        <f>IF(AND(CF47=CF50,BA38=BA41),BL49,"kkk")</f>
        <v>#VALUE!</v>
      </c>
      <c r="EF47" s="48"/>
      <c r="EG47" s="59" t="e">
        <f>SUM(EB47:EF47)</f>
        <v>#VALUE!</v>
      </c>
      <c r="EH47" s="31" t="s">
        <v>33</v>
      </c>
      <c r="EI47" s="54" t="s">
        <v>53</v>
      </c>
      <c r="EJ47" s="33" t="e">
        <f>IF(BD38&lt;&gt;"ùùù",IF(AND(CF47=CF48,BD38=BD39),BH53,"kkk"),"kkk")</f>
        <v>#VALUE!</v>
      </c>
      <c r="EK47" s="33" t="e">
        <f>IF(BD38&lt;&gt;"ùùù",IF(AND(CF47=CF49,BD38=BD40),BH51,"kkk"),"kkk")</f>
        <v>#VALUE!</v>
      </c>
      <c r="EL47" s="33" t="e">
        <f>IF(BD38&lt;&gt;"ùùù",IF(AND(CF47=CF50,BD38=BD41),BH49,"kkk"),"kkk")</f>
        <v>#VALUE!</v>
      </c>
      <c r="EM47" s="48"/>
      <c r="EN47" s="59" t="e">
        <f>SUM(EI47:EM47)</f>
        <v>#VALUE!</v>
      </c>
      <c r="EO47" s="31" t="s">
        <v>33</v>
      </c>
      <c r="EP47" s="54" t="s">
        <v>53</v>
      </c>
      <c r="EQ47" s="33" t="e">
        <f>IF(BD38&lt;&gt;"ùùù",IF(AND(CF47=CF48,BD38=BD39),BL53,"kkk"),"kkk")</f>
        <v>#VALUE!</v>
      </c>
      <c r="ER47" s="33" t="e">
        <f>IF(BD38&lt;&gt;"ùùù",IF(AND(CF47=CF49,BD38=BD40),BL51,"kkk"),"kkk")</f>
        <v>#VALUE!</v>
      </c>
      <c r="ES47" s="33" t="e">
        <f>IF(BD38&lt;&gt;"ùùù",IF(AND(CF47=CF50,BD38=BD41),BL49,"kkk"),"kkk")</f>
        <v>#VALUE!</v>
      </c>
      <c r="ET47" s="48"/>
      <c r="EU47" s="59" t="e">
        <f>SUM(EP47:ET47)</f>
        <v>#VALUE!</v>
      </c>
      <c r="EV47" s="31" t="s">
        <v>33</v>
      </c>
      <c r="EW47" s="54" t="s">
        <v>53</v>
      </c>
      <c r="EX47" s="33" t="e">
        <f>IF(AND(CF47=CF48,BC38=BC39),+AF53+AH53+AJ53+AL53+AN53,"xxx")</f>
        <v>#VALUE!</v>
      </c>
      <c r="EY47" s="33" t="e">
        <f>IF(AND(CF47=CF49,BC38=BC40),+AF51+AH51+AJ51+AL51+AN51,"xxx")</f>
        <v>#VALUE!</v>
      </c>
      <c r="EZ47" s="33" t="e">
        <f>IF(AND(CF47=CF50,BC38=BC41),+AF49+AH49+AJ49+AL49+AN49,"xxx")</f>
        <v>#VALUE!</v>
      </c>
      <c r="FA47" s="48"/>
      <c r="FB47" s="59" t="e">
        <f>SUM(EW47:FA47)</f>
        <v>#VALUE!</v>
      </c>
      <c r="FC47" s="31" t="s">
        <v>33</v>
      </c>
      <c r="FD47" s="54" t="s">
        <v>53</v>
      </c>
      <c r="FE47" s="33" t="e">
        <f>IF(AND(CF47=CF48,BC38=BC39),+AG53+AI53+AK53+AM53+AO53,"xxx")</f>
        <v>#VALUE!</v>
      </c>
      <c r="FF47" s="33" t="e">
        <f>IF(AND(CF47=CF49,BC38=BC40),+AG51+AI51+AK51+AM51+AO51,"xxx")</f>
        <v>#VALUE!</v>
      </c>
      <c r="FG47" s="33" t="e">
        <f>IF(AND(CF47=CF50,BC38=BC41),+AG49+AI49+AK49+AM49+AO49,"xxx")</f>
        <v>#VALUE!</v>
      </c>
      <c r="FH47" s="48"/>
      <c r="FI47" s="59" t="e">
        <f>SUM(FD47:FH47)</f>
        <v>#VALUE!</v>
      </c>
      <c r="FJ47" s="4"/>
      <c r="FK47" s="4"/>
      <c r="FL47" s="4"/>
      <c r="FM47" s="4"/>
    </row>
    <row r="48" spans="1:169" ht="27.95" customHeight="1" x14ac:dyDescent="0.2">
      <c r="A48" s="542">
        <v>2</v>
      </c>
      <c r="B48" s="543" t="s">
        <v>13</v>
      </c>
      <c r="C48" s="544">
        <v>4</v>
      </c>
      <c r="D48" s="545"/>
      <c r="E48" s="546">
        <f>E47+0.021</f>
        <v>6.3E-2</v>
      </c>
      <c r="F48" s="547">
        <f>F45</f>
        <v>0</v>
      </c>
      <c r="G48" s="817" t="str">
        <f t="shared" si="25"/>
        <v>GILOUPPE Louis</v>
      </c>
      <c r="H48" s="818"/>
      <c r="I48" s="818"/>
      <c r="J48" s="818"/>
      <c r="K48" s="818"/>
      <c r="L48" s="548" t="s">
        <v>9</v>
      </c>
      <c r="M48" s="818">
        <f t="shared" si="26"/>
        <v>0</v>
      </c>
      <c r="N48" s="818"/>
      <c r="O48" s="818"/>
      <c r="P48" s="818"/>
      <c r="Q48" s="823"/>
      <c r="R48" s="590"/>
      <c r="S48" s="591"/>
      <c r="T48" s="591"/>
      <c r="U48" s="551"/>
      <c r="V48" s="551"/>
      <c r="W48" s="538"/>
      <c r="X48" s="553"/>
      <c r="Y48" s="554" t="str">
        <f>IF(AND(COUNTIF(($R48:$V48),"&gt;0")&gt;=2),1,IF(AND(COUNTIF(($R48:$V48),"&lt;0")&gt;=2),0,blanc))</f>
        <v xml:space="preserve"> </v>
      </c>
      <c r="Z48" s="558"/>
      <c r="AA48" s="559" t="str">
        <f>IF(AND(Y48=0),1,IF(AND(Y48=1),0,blanc))</f>
        <v xml:space="preserve"> </v>
      </c>
      <c r="AC48" s="847" t="s">
        <v>47</v>
      </c>
      <c r="AD48" s="848"/>
      <c r="AE48" s="46" t="s">
        <v>48</v>
      </c>
      <c r="AF48" s="47" t="s">
        <v>49</v>
      </c>
      <c r="AG48" s="33" t="s">
        <v>50</v>
      </c>
      <c r="AH48" s="33" t="s">
        <v>49</v>
      </c>
      <c r="AI48" s="33" t="s">
        <v>50</v>
      </c>
      <c r="AJ48" s="33" t="s">
        <v>49</v>
      </c>
      <c r="AK48" s="33" t="s">
        <v>50</v>
      </c>
      <c r="AL48" s="33" t="s">
        <v>49</v>
      </c>
      <c r="AM48" s="33" t="s">
        <v>50</v>
      </c>
      <c r="AN48" s="33" t="s">
        <v>49</v>
      </c>
      <c r="AO48" s="33" t="s">
        <v>50</v>
      </c>
      <c r="AP48" s="49" t="s">
        <v>33</v>
      </c>
      <c r="AQ48" s="33" t="s">
        <v>35</v>
      </c>
      <c r="AR48" s="33" t="s">
        <v>36</v>
      </c>
      <c r="AS48" s="33" t="s">
        <v>61</v>
      </c>
      <c r="AT48" s="79"/>
      <c r="AU48" s="60"/>
      <c r="AV48" s="67"/>
      <c r="AW48" s="67"/>
      <c r="AX48" s="67"/>
      <c r="AY48" s="80" t="s">
        <v>33</v>
      </c>
      <c r="AZ48" s="33" t="s">
        <v>35</v>
      </c>
      <c r="BA48" s="33" t="s">
        <v>36</v>
      </c>
      <c r="BB48" s="33" t="s">
        <v>61</v>
      </c>
      <c r="BC48" s="33">
        <v>1</v>
      </c>
      <c r="BD48" s="33">
        <v>2</v>
      </c>
      <c r="BE48" s="33">
        <v>3</v>
      </c>
      <c r="BF48" s="33">
        <v>4</v>
      </c>
      <c r="BG48" s="33">
        <v>5</v>
      </c>
      <c r="BH48" s="33" t="s">
        <v>40</v>
      </c>
      <c r="BI48" s="33" t="s">
        <v>51</v>
      </c>
      <c r="BJ48" s="33"/>
      <c r="BK48" s="33"/>
      <c r="BL48" s="33" t="s">
        <v>70</v>
      </c>
      <c r="BM48" s="33" t="s">
        <v>40</v>
      </c>
      <c r="BN48" s="33"/>
      <c r="BO48" s="50"/>
      <c r="BQ48" s="1"/>
      <c r="BR48" s="62"/>
      <c r="BS48" s="31" t="str">
        <f>AE39</f>
        <v>B</v>
      </c>
      <c r="BT48" s="31" t="e">
        <f>BW47</f>
        <v>#VALUE!</v>
      </c>
      <c r="BU48" s="31" t="str">
        <f>BV47</f>
        <v>M</v>
      </c>
      <c r="BV48" s="77"/>
      <c r="BW48" s="77"/>
      <c r="BX48" s="31" t="str">
        <f>BH50</f>
        <v>M</v>
      </c>
      <c r="BY48" s="31" t="e">
        <f>BL50</f>
        <v>#VALUE!</v>
      </c>
      <c r="BZ48" s="31" t="str">
        <f>BH52</f>
        <v>M</v>
      </c>
      <c r="CA48" s="56" t="e">
        <f>BL52</f>
        <v>#VALUE!</v>
      </c>
      <c r="CB48" s="62"/>
      <c r="CC48" s="62"/>
      <c r="CD48" s="61"/>
      <c r="CE48" s="61"/>
      <c r="CF48" s="59" t="e">
        <f t="shared" ref="CF48:CF53" si="27">SUM(CH48:CL48)</f>
        <v>#VALUE!</v>
      </c>
      <c r="CG48" s="34" t="e">
        <f t="shared" ref="CG48:CG53" si="28">SUM(CM48:CQ48)</f>
        <v>#VALUE!</v>
      </c>
      <c r="CH48" s="31" t="e">
        <f>IF(BT48&gt;BU48,1,0)</f>
        <v>#VALUE!</v>
      </c>
      <c r="CI48" s="31" t="e">
        <f>IF(BX48&gt;BY48,1,0)</f>
        <v>#VALUE!</v>
      </c>
      <c r="CJ48" s="31" t="e">
        <f>IF(BZ48&gt;CA48,1,0)</f>
        <v>#VALUE!</v>
      </c>
      <c r="CK48" s="31">
        <f>IF(CB48&gt;CC48,1,0)</f>
        <v>0</v>
      </c>
      <c r="CL48" s="31">
        <f>IF(CD48&gt;CE48,1,0)</f>
        <v>0</v>
      </c>
      <c r="CM48" s="78" t="e">
        <f>IF(BT48&lt;BU48,1,0)</f>
        <v>#VALUE!</v>
      </c>
      <c r="CN48" s="31" t="e">
        <f>IF(BX48&lt;BY48,1,0)</f>
        <v>#VALUE!</v>
      </c>
      <c r="CO48" s="31" t="e">
        <f>IF(BZ48&lt;CA48,1,0)</f>
        <v>#VALUE!</v>
      </c>
      <c r="CP48" s="31">
        <f>IF(CB48&lt;CC48,1,0)</f>
        <v>0</v>
      </c>
      <c r="CQ48" s="31">
        <f>IF(CD48&lt;CE48,1,0)</f>
        <v>0</v>
      </c>
      <c r="CR48" s="31" t="s">
        <v>35</v>
      </c>
      <c r="CS48" s="33" t="e">
        <f>IF(CF48=CF47,AZ53,"xxx")</f>
        <v>#VALUE!</v>
      </c>
      <c r="CT48" s="54" t="s">
        <v>53</v>
      </c>
      <c r="CU48" s="33" t="e">
        <f>IF(CF48=CF49,AZ50,"xxx")</f>
        <v>#VALUE!</v>
      </c>
      <c r="CV48" s="33" t="e">
        <f>IF(CF48=CF50,AZ52,"xxx")</f>
        <v>#VALUE!</v>
      </c>
      <c r="CW48" s="48"/>
      <c r="CX48" s="59" t="e">
        <f>SUM(CS48:CW48)</f>
        <v>#VALUE!</v>
      </c>
      <c r="CY48" s="31" t="s">
        <v>35</v>
      </c>
      <c r="CZ48" s="33" t="e">
        <f>IF(CF48=CF47,AY53,"xxx")</f>
        <v>#VALUE!</v>
      </c>
      <c r="DA48" s="54" t="s">
        <v>53</v>
      </c>
      <c r="DB48" s="33" t="e">
        <f>IF(CF48=CF49,BA50,"xxx")</f>
        <v>#VALUE!</v>
      </c>
      <c r="DC48" s="33" t="e">
        <f>IF(CF48=CF50,BB52,"xxx")</f>
        <v>#VALUE!</v>
      </c>
      <c r="DD48" s="48"/>
      <c r="DE48" s="59" t="e">
        <f>SUM(CZ48:DD48)</f>
        <v>#VALUE!</v>
      </c>
      <c r="DF48" s="31" t="s">
        <v>35</v>
      </c>
      <c r="DG48" s="33" t="e">
        <f>IF(AND(BA39&lt;&gt;0,AY39=AY38),IF(BA39=BA38,AZ53,"xxx"),"xxx")</f>
        <v>#VALUE!</v>
      </c>
      <c r="DH48" s="54" t="s">
        <v>53</v>
      </c>
      <c r="DI48" s="33" t="e">
        <f>IF(AND(BA39&lt;&gt;0,AY39=AY40),IF(BA39=BA40,AZ50,"xxx"),"xxx")</f>
        <v>#VALUE!</v>
      </c>
      <c r="DJ48" s="33" t="e">
        <f>IF(AND(BA39&lt;&gt;0,AY39=AY41),IF(BA39=BA41,AZ52,"xxx"),"xxx")</f>
        <v>#VALUE!</v>
      </c>
      <c r="DK48" s="48"/>
      <c r="DL48" s="59" t="e">
        <f>SUM(DG48:DK48)</f>
        <v>#VALUE!</v>
      </c>
      <c r="DM48" s="31" t="s">
        <v>35</v>
      </c>
      <c r="DN48" s="33" t="e">
        <f>IF(AND(BA39&lt;&gt;0,AY39=AY38),IF(BA39=BA38,AY53,"xxx"),"xxx")</f>
        <v>#VALUE!</v>
      </c>
      <c r="DO48" s="54" t="s">
        <v>53</v>
      </c>
      <c r="DP48" s="33" t="e">
        <f>IF(AND(BA39&lt;&gt;0,AY39=AY40),IF(BA39=BA40,BA50,"xxx"),"xxx")</f>
        <v>#VALUE!</v>
      </c>
      <c r="DQ48" s="33" t="e">
        <f>IF(AND(BA39&lt;&gt;0,AY39=AY41),IF(BA39=BA41,BB52,"xxx"),"xxx")</f>
        <v>#VALUE!</v>
      </c>
      <c r="DR48" s="48"/>
      <c r="DS48" s="59" t="e">
        <f>SUM(DN48:DR48)</f>
        <v>#VALUE!</v>
      </c>
      <c r="DT48" s="31" t="s">
        <v>35</v>
      </c>
      <c r="DU48" s="33" t="e">
        <f>IF(AND(CF48=CF47,BA39=BA38),BL53,"kkk")</f>
        <v>#VALUE!</v>
      </c>
      <c r="DV48" s="54" t="s">
        <v>53</v>
      </c>
      <c r="DW48" s="33" t="e">
        <f>IF(AND(CF48=CF49,BA39=BA40),BH50,"kkk")</f>
        <v>#VALUE!</v>
      </c>
      <c r="DX48" s="33" t="e">
        <f>IF(AND(CF48=CF50,BA39=BA41),BH52,"kkk")</f>
        <v>#VALUE!</v>
      </c>
      <c r="DY48" s="48"/>
      <c r="DZ48" s="59" t="e">
        <f>SUM(DU48:DY48)</f>
        <v>#VALUE!</v>
      </c>
      <c r="EA48" s="31" t="s">
        <v>35</v>
      </c>
      <c r="EB48" s="33" t="e">
        <f>IF(AND(CF48=CF47,BA39=BA38),BH53,"kkk")</f>
        <v>#VALUE!</v>
      </c>
      <c r="EC48" s="54" t="s">
        <v>53</v>
      </c>
      <c r="ED48" s="33" t="e">
        <f>IF(AND(CF48=CF49,BA39=BA40),BL50,"kkk")</f>
        <v>#VALUE!</v>
      </c>
      <c r="EE48" s="33" t="e">
        <f>IF(AND(CF48=CF50,BA39=BA41),BL52,"kkk")</f>
        <v>#VALUE!</v>
      </c>
      <c r="EF48" s="48"/>
      <c r="EG48" s="59" t="e">
        <f>SUM(EB48:EF48)</f>
        <v>#VALUE!</v>
      </c>
      <c r="EH48" s="31" t="s">
        <v>35</v>
      </c>
      <c r="EI48" s="33" t="e">
        <f>IF(BD39&lt;&gt;"ùùù",IF(AND(CF48=CF47,BD39=BD38),BL53,"kkk"),"kkk")</f>
        <v>#VALUE!</v>
      </c>
      <c r="EJ48" s="54" t="s">
        <v>53</v>
      </c>
      <c r="EK48" s="33" t="e">
        <f>IF(BD39&lt;&gt;"ùùù",IF(AND(CF48=CF49,BD39=BD40),BH50,"kkk"),"kkk")</f>
        <v>#VALUE!</v>
      </c>
      <c r="EL48" s="33" t="e">
        <f>IF(BD39&lt;&gt;"ùùù",IF(AND(CF48=CF50,BD39=BD41),BH52,"kkk"),"kkk")</f>
        <v>#VALUE!</v>
      </c>
      <c r="EM48" s="48"/>
      <c r="EN48" s="59" t="e">
        <f>SUM(EI48:EM48)</f>
        <v>#VALUE!</v>
      </c>
      <c r="EO48" s="31" t="s">
        <v>35</v>
      </c>
      <c r="EP48" s="33" t="e">
        <f>IF(BD39&lt;&gt;"ùùù",IF(AND(CF48=CF47,BD39=BD38),BH53,"kkk"),"kkk")</f>
        <v>#VALUE!</v>
      </c>
      <c r="EQ48" s="54" t="s">
        <v>53</v>
      </c>
      <c r="ER48" s="33" t="e">
        <f>IF(BD39&lt;&gt;"ùùù",IF(AND(CF48=CF49,BD39=BD40),BL50,"kkk"),"kkk")</f>
        <v>#VALUE!</v>
      </c>
      <c r="ES48" s="33" t="e">
        <f>IF(BD39&lt;&gt;"ùùù",IF(AND(CF48=CF50,BD39=BD41),BL52,"kkk"),"kkk")</f>
        <v>#VALUE!</v>
      </c>
      <c r="ET48" s="48"/>
      <c r="EU48" s="59" t="e">
        <f>SUM(EP48:ET48)</f>
        <v>#VALUE!</v>
      </c>
      <c r="EV48" s="31" t="s">
        <v>35</v>
      </c>
      <c r="EW48" s="33" t="e">
        <f>IF(AND(CF48=CF47,BC39=BC38),+AG53+AI53+AK53+AM53+AO53,"xxx")</f>
        <v>#VALUE!</v>
      </c>
      <c r="EX48" s="54" t="s">
        <v>53</v>
      </c>
      <c r="EY48" s="33" t="e">
        <f>IF(AND(CF48=CF49,BC39=BC40),+AF50+AH50+AJ50+AL50+AN50,"xxx")</f>
        <v>#VALUE!</v>
      </c>
      <c r="EZ48" s="33" t="e">
        <f>IF(AND(CF48=CF50,BC39=BC41),+AF52+AH52+AJ52+AL52+AN52,"xxx")</f>
        <v>#VALUE!</v>
      </c>
      <c r="FA48" s="48"/>
      <c r="FB48" s="59" t="e">
        <f>SUM(EW48:FA48)</f>
        <v>#VALUE!</v>
      </c>
      <c r="FC48" s="31" t="s">
        <v>35</v>
      </c>
      <c r="FD48" s="33" t="e">
        <f>IF(AND(CF48=CF47,BC39=BC38),+AF53+AH53+AJ53+AL53+AN53,"xxx")</f>
        <v>#VALUE!</v>
      </c>
      <c r="FE48" s="54" t="s">
        <v>53</v>
      </c>
      <c r="FF48" s="33" t="e">
        <f>IF(AND(CF48=CF49,BC39=BC40),+AG50+AI50+AK50+AM50+AO50,"xxx")</f>
        <v>#VALUE!</v>
      </c>
      <c r="FG48" s="33" t="e">
        <f>IF(AND(CF48=CF50,BC39=BC41),+AG52+AI52+AK52+AM52+AO52,"xxx")</f>
        <v>#VALUE!</v>
      </c>
      <c r="FH48" s="48"/>
      <c r="FI48" s="59" t="e">
        <f>SUM(FD48:FH48)</f>
        <v>#VALUE!</v>
      </c>
      <c r="FJ48" s="67"/>
      <c r="FK48" s="67"/>
      <c r="FL48" s="67"/>
      <c r="FM48" s="67"/>
    </row>
    <row r="49" spans="1:169" ht="27.95" customHeight="1" x14ac:dyDescent="0.2">
      <c r="A49" s="542">
        <v>1</v>
      </c>
      <c r="B49" s="543" t="s">
        <v>13</v>
      </c>
      <c r="C49" s="544">
        <v>2</v>
      </c>
      <c r="D49" s="545" t="str">
        <f>D45</f>
        <v>Sa</v>
      </c>
      <c r="E49" s="546">
        <f>E48+0.021</f>
        <v>8.4000000000000005E-2</v>
      </c>
      <c r="F49" s="547">
        <f>F45</f>
        <v>0</v>
      </c>
      <c r="G49" s="817" t="str">
        <f t="shared" si="25"/>
        <v>HATTON Pierre</v>
      </c>
      <c r="H49" s="818"/>
      <c r="I49" s="818"/>
      <c r="J49" s="818"/>
      <c r="K49" s="818"/>
      <c r="L49" s="548" t="s">
        <v>9</v>
      </c>
      <c r="M49" s="818" t="str">
        <f t="shared" si="26"/>
        <v>GILOUPPE Louis</v>
      </c>
      <c r="N49" s="818"/>
      <c r="O49" s="818"/>
      <c r="P49" s="818"/>
      <c r="Q49" s="823"/>
      <c r="R49" s="556"/>
      <c r="S49" s="551"/>
      <c r="T49" s="551"/>
      <c r="U49" s="551"/>
      <c r="V49" s="551"/>
      <c r="W49" s="538"/>
      <c r="X49" s="557" t="str">
        <f>IF(AND(COUNTIF(($R49:$V49),"&gt;0")&gt;=2),1,IF(AND(COUNTIF(($R49:$V49),"&lt;0")&gt;=2),0,blanc))</f>
        <v xml:space="preserve"> </v>
      </c>
      <c r="Y49" s="554" t="str">
        <f>IF(AND(X49=0),1,IF(AND(X49=1),0,blanc))</f>
        <v xml:space="preserve"> </v>
      </c>
      <c r="Z49" s="558"/>
      <c r="AA49" s="555"/>
      <c r="AC49" s="81">
        <f>IF(AF38&lt;&gt;" ",AF38," ")</f>
        <v>1</v>
      </c>
      <c r="AD49" s="82">
        <f>IF(AF41&lt;&gt;" ",AF41," ")</f>
        <v>4</v>
      </c>
      <c r="AE49" s="83" t="str">
        <f t="shared" ref="AE49:AE54" si="29">IF(AK49&lt;&gt;0,IF(BI49&lt;0,AD49,AC49),IF(BI49=2,AC49,IF(BI49=-2,AD49," ")))</f>
        <v xml:space="preserve"> </v>
      </c>
      <c r="AF49" s="84">
        <f t="shared" ref="AF49:AF54" si="30">IF(R45=0,0,IF(R45&lt;0,-R45,IF(R45&lt;10,11,R45+2)))</f>
        <v>0</v>
      </c>
      <c r="AG49" s="85">
        <f t="shared" ref="AG49:AG54" si="31">IF(R45=0,0,IF(R45&gt;0,R45,IF(R45&gt;-10,11,-R45+2)))</f>
        <v>0</v>
      </c>
      <c r="AH49" s="82">
        <f t="shared" ref="AH49:AH54" si="32">IF(S45=0,0,IF(S45&lt;0,-S45,IF(S45&lt;10,11,S45+2)))</f>
        <v>0</v>
      </c>
      <c r="AI49" s="85">
        <f t="shared" ref="AI49:AI54" si="33">IF(S45=0,0,IF(S45&gt;0,S45,IF(S45&gt;-10,11,-S45+2)))</f>
        <v>0</v>
      </c>
      <c r="AJ49" s="86">
        <f t="shared" ref="AJ49:AJ54" si="34">IF(T45=0,0,IF(T45&lt;0,-T45,IF(T45&lt;10,11,T45+2)))</f>
        <v>0</v>
      </c>
      <c r="AK49" s="85">
        <f t="shared" ref="AK49:AK54" si="35">IF(T45=0,0,IF(T45&gt;0,T45,IF(T45&gt;-10,11,-T45+2)))</f>
        <v>0</v>
      </c>
      <c r="AL49" s="86">
        <f t="shared" ref="AL49:AL54" si="36">IF(U45=0,0,IF(U45&lt;0,-U45,IF(U45&lt;10,11,U45+2)))</f>
        <v>0</v>
      </c>
      <c r="AM49" s="85">
        <f t="shared" ref="AM49:AM54" si="37">IF(U45=0,0,IF(U45&gt;0,U45,IF(U45&gt;-10,11,-U45+2)))</f>
        <v>0</v>
      </c>
      <c r="AN49" s="86">
        <f t="shared" ref="AN49:AN54" si="38">IF(V45=0,0,IF(V45&lt;0,-V45,IF(V45&lt;10,11,V45+2)))</f>
        <v>0</v>
      </c>
      <c r="AO49" s="87">
        <f t="shared" ref="AO49:AO54" si="39">IF(V45=0,0,IF(V45&gt;0,V45,IF(V45&gt;-10,11,-V45+2)))</f>
        <v>0</v>
      </c>
      <c r="AP49" s="5">
        <f>IF(BI49&gt;0,1,0)</f>
        <v>0</v>
      </c>
      <c r="AR49" s="6"/>
      <c r="AS49" s="5">
        <f>IF(BI49&lt;0,1,0)</f>
        <v>0</v>
      </c>
      <c r="AT49" s="88"/>
      <c r="AU49" s="60"/>
      <c r="AV49" s="2"/>
      <c r="AW49" s="2"/>
      <c r="AX49" s="2"/>
      <c r="AY49" s="7">
        <f>IF(BI49&gt;0,1,0)</f>
        <v>0</v>
      </c>
      <c r="BA49" s="8"/>
      <c r="BB49" s="9">
        <f>IF(BI49&lt;0,1,0)</f>
        <v>0</v>
      </c>
      <c r="BC49" s="55">
        <f t="shared" ref="BC49:BC54" si="40">IF(AF49&lt;&gt;0,IF(AF49&gt;AG49,1,-1),0)</f>
        <v>0</v>
      </c>
      <c r="BD49" s="55">
        <f t="shared" ref="BD49:BD54" si="41">IF(AH49&lt;&gt;0,IF(AH49&gt;AI49,1,-1),0)</f>
        <v>0</v>
      </c>
      <c r="BE49" s="55">
        <f t="shared" ref="BE49:BE54" si="42">IF(AJ49&lt;&gt;0,IF(AJ49&gt;AK49,1,-1),0)</f>
        <v>0</v>
      </c>
      <c r="BF49" s="55">
        <f t="shared" ref="BF49:BF54" si="43">IF(AL49&lt;&gt;0,IF(AL49&gt;AM49,1,-1),0)</f>
        <v>0</v>
      </c>
      <c r="BG49" s="55">
        <f t="shared" ref="BG49:BG54" si="44">IF(AN49&lt;&gt;0,IF(AN49&gt;AO49,1,-1),0)</f>
        <v>0</v>
      </c>
      <c r="BH49" s="55" t="str">
        <f t="shared" ref="BH49:BH54" si="45">IF(BM49=0,"M",IF(BI49&gt;0,3,IF(BI49=0,"N",3+BI49)))</f>
        <v>M</v>
      </c>
      <c r="BI49" s="55">
        <f t="shared" ref="BI49:BI54" si="46">SUM(BC49:BG49)</f>
        <v>0</v>
      </c>
      <c r="BJ49" s="55"/>
      <c r="BK49" s="55"/>
      <c r="BL49" s="55" t="e">
        <f t="shared" ref="BL49:BL54" si="47">BM49-BH49</f>
        <v>#VALUE!</v>
      </c>
      <c r="BM49" s="55">
        <f t="shared" ref="BM49:BM54" si="48">ABS(BC49)+ABS(BD49)+ABS(BE49)+ABS(BF49)+ABS(BG49)</f>
        <v>0</v>
      </c>
      <c r="BN49" s="55"/>
      <c r="BO49" s="89"/>
      <c r="BQ49" s="1"/>
      <c r="BR49" s="62"/>
      <c r="BS49" s="31" t="str">
        <f>AE40</f>
        <v>C</v>
      </c>
      <c r="BT49" s="31" t="e">
        <f>BY47</f>
        <v>#VALUE!</v>
      </c>
      <c r="BU49" s="31" t="str">
        <f>BX47</f>
        <v>M</v>
      </c>
      <c r="BV49" s="31" t="e">
        <f>BY48</f>
        <v>#VALUE!</v>
      </c>
      <c r="BW49" s="31" t="str">
        <f>BX48</f>
        <v>M</v>
      </c>
      <c r="BX49" s="77"/>
      <c r="BY49" s="77"/>
      <c r="BZ49" s="31" t="str">
        <f>BH54</f>
        <v>M</v>
      </c>
      <c r="CA49" s="56" t="e">
        <f>BL54</f>
        <v>#VALUE!</v>
      </c>
      <c r="CB49" s="62"/>
      <c r="CC49" s="62"/>
      <c r="CD49" s="61"/>
      <c r="CE49" s="61"/>
      <c r="CF49" s="59" t="e">
        <f t="shared" si="27"/>
        <v>#VALUE!</v>
      </c>
      <c r="CG49" s="34" t="e">
        <f t="shared" si="28"/>
        <v>#VALUE!</v>
      </c>
      <c r="CH49" s="31" t="e">
        <f>IF(BT49&gt;BU49,1,0)</f>
        <v>#VALUE!</v>
      </c>
      <c r="CI49" s="31" t="e">
        <f>IF(BV49&gt;BW49,1,0)</f>
        <v>#VALUE!</v>
      </c>
      <c r="CJ49" s="31" t="e">
        <f>IF(BZ49&gt;CA49,1,0)</f>
        <v>#VALUE!</v>
      </c>
      <c r="CK49" s="31">
        <f>IF(CB49&gt;CC49,1,0)</f>
        <v>0</v>
      </c>
      <c r="CL49" s="31">
        <f>IF(CD49&gt;CE49,1,0)</f>
        <v>0</v>
      </c>
      <c r="CM49" s="78" t="e">
        <f>IF(BT49&lt;BU49,1,0)</f>
        <v>#VALUE!</v>
      </c>
      <c r="CN49" s="31" t="e">
        <f>IF(BV49&lt;BW49,1,0)</f>
        <v>#VALUE!</v>
      </c>
      <c r="CO49" s="31" t="e">
        <f>IF(BZ49&lt;CA49,1,0)</f>
        <v>#VALUE!</v>
      </c>
      <c r="CP49" s="31">
        <f>IF(CB49&lt;CC49,1,0)</f>
        <v>0</v>
      </c>
      <c r="CQ49" s="31">
        <f>IF(CD49&lt;CE49,1,0)</f>
        <v>0</v>
      </c>
      <c r="CR49" s="31" t="s">
        <v>36</v>
      </c>
      <c r="CS49" s="33" t="e">
        <f>IF(CF49=CF47,BA51,"xxx")</f>
        <v>#VALUE!</v>
      </c>
      <c r="CT49" s="33" t="e">
        <f>IF(CF49=CF48,BA50,"xxx")</f>
        <v>#VALUE!</v>
      </c>
      <c r="CU49" s="54" t="s">
        <v>53</v>
      </c>
      <c r="CV49" s="33" t="e">
        <f>IF(CF49=CF50,BA54,"xxx")</f>
        <v>#VALUE!</v>
      </c>
      <c r="CW49" s="48"/>
      <c r="CX49" s="59" t="e">
        <f>SUM(CS49:CW49)</f>
        <v>#VALUE!</v>
      </c>
      <c r="CY49" s="31" t="s">
        <v>36</v>
      </c>
      <c r="CZ49" s="33" t="e">
        <f>IF(CF49=CF47,AY51,"xxx")</f>
        <v>#VALUE!</v>
      </c>
      <c r="DA49" s="33" t="e">
        <f>IF(CF49=CF48,AZ50,"xxx")</f>
        <v>#VALUE!</v>
      </c>
      <c r="DB49" s="54" t="s">
        <v>53</v>
      </c>
      <c r="DC49" s="33" t="e">
        <f>IF(CF49=CF50,BB54,"xxx")</f>
        <v>#VALUE!</v>
      </c>
      <c r="DD49" s="48"/>
      <c r="DE49" s="59" t="e">
        <f>SUM(CZ49:DD49)</f>
        <v>#VALUE!</v>
      </c>
      <c r="DF49" s="31" t="s">
        <v>36</v>
      </c>
      <c r="DG49" s="33" t="e">
        <f>IF(AND(BA40&lt;&gt;0,AY40=AY38),IF(BA40=BA38,BA51,"xxx"),"xxx")</f>
        <v>#VALUE!</v>
      </c>
      <c r="DH49" s="33" t="e">
        <f>IF(AND(BA40&lt;&gt;0,AY40=AY39),IF(BA40=BA39,BA50,"xxx"),"xxx")</f>
        <v>#VALUE!</v>
      </c>
      <c r="DI49" s="54" t="s">
        <v>53</v>
      </c>
      <c r="DJ49" s="33" t="e">
        <f>IF(AND(BA40&lt;&gt;0,AY40=AY41),IF(BA40=BA41,BA54,"xxx"),"xxx")</f>
        <v>#VALUE!</v>
      </c>
      <c r="DK49" s="48"/>
      <c r="DL49" s="59" t="e">
        <f>SUM(DG49:DK49)</f>
        <v>#VALUE!</v>
      </c>
      <c r="DM49" s="31" t="s">
        <v>36</v>
      </c>
      <c r="DN49" s="33" t="e">
        <f>IF(AND(BA40&lt;&gt;0,AY40=AY38),IF(BA40=BA38,AY51,"xxx"),"xxx")</f>
        <v>#VALUE!</v>
      </c>
      <c r="DO49" s="33" t="e">
        <f>IF(AND(BA40&lt;&gt;0,AY40=AY39),IF(BA40=BA39,AZ50,"xxx"),"xxx")</f>
        <v>#VALUE!</v>
      </c>
      <c r="DP49" s="54" t="s">
        <v>53</v>
      </c>
      <c r="DQ49" s="33" t="e">
        <f>IF(AND(BA40&lt;&gt;0,AY40=AY41),IF(BA40=BA41,BB54,"xxx"),"xxx")</f>
        <v>#VALUE!</v>
      </c>
      <c r="DR49" s="48"/>
      <c r="DS49" s="59" t="e">
        <f>SUM(DN49:DR49)</f>
        <v>#VALUE!</v>
      </c>
      <c r="DT49" s="31" t="s">
        <v>36</v>
      </c>
      <c r="DU49" s="33" t="e">
        <f>IF(AND(CF49=CF47,BA40=BA38),BL51,"kkk")</f>
        <v>#VALUE!</v>
      </c>
      <c r="DV49" s="33" t="e">
        <f>IF(AND(CF49=CF48,BA40=BA39),BL50,"kkk")</f>
        <v>#VALUE!</v>
      </c>
      <c r="DW49" s="54" t="s">
        <v>53</v>
      </c>
      <c r="DX49" s="33" t="e">
        <f>IF(AND(CF49=CF50,BA40=BA41),BH54,"kkk")</f>
        <v>#VALUE!</v>
      </c>
      <c r="DY49" s="48"/>
      <c r="DZ49" s="59" t="e">
        <f>SUM(DU49:DY49)</f>
        <v>#VALUE!</v>
      </c>
      <c r="EA49" s="31" t="s">
        <v>36</v>
      </c>
      <c r="EB49" s="33" t="e">
        <f>IF(AND(CF49=CF47,BA40=BA38),BH51,"kkk")</f>
        <v>#VALUE!</v>
      </c>
      <c r="EC49" s="33" t="e">
        <f>IF(AND(CF49=CF48,BA40=BA39),BH50,"kkk")</f>
        <v>#VALUE!</v>
      </c>
      <c r="ED49" s="54" t="s">
        <v>53</v>
      </c>
      <c r="EE49" s="33" t="e">
        <f>IF(AND(CF49=CF50,BA40=BA41),BL54,"kkk")</f>
        <v>#VALUE!</v>
      </c>
      <c r="EF49" s="48"/>
      <c r="EG49" s="59" t="e">
        <f>SUM(EB49:EF49)</f>
        <v>#VALUE!</v>
      </c>
      <c r="EH49" s="31" t="s">
        <v>36</v>
      </c>
      <c r="EI49" s="33" t="e">
        <f>IF(BD40&lt;&gt;"ùùù",IF(AND(CF49=CF47,BD40=BD38),BL51,"kkk"),"kkk")</f>
        <v>#VALUE!</v>
      </c>
      <c r="EJ49" s="33" t="e">
        <f>IF(BD40&lt;&gt;"ùùù",IF(AND(CF49=CF48,BD40=BD39),BL50,"kkk"),"kkk")</f>
        <v>#VALUE!</v>
      </c>
      <c r="EK49" s="54" t="s">
        <v>53</v>
      </c>
      <c r="EL49" s="33" t="e">
        <f>IF(BD40&lt;&gt;"ùùù",IF(AND(CF49=CF50,BD40=BD41),BH54,"kkk"),"kkk")</f>
        <v>#VALUE!</v>
      </c>
      <c r="EM49" s="48"/>
      <c r="EN49" s="59" t="e">
        <f>SUM(EI49:EM49)</f>
        <v>#VALUE!</v>
      </c>
      <c r="EO49" s="31" t="s">
        <v>36</v>
      </c>
      <c r="EP49" s="33" t="e">
        <f>IF(BD40&lt;&gt;"ùùù",IF(AND(CF49=CF47,BD40=BD38),BH51,"kkk"),"kkk")</f>
        <v>#VALUE!</v>
      </c>
      <c r="EQ49" s="33" t="e">
        <f>IF(BD40&lt;&gt;"ùùù",IF(AND(CF49=CF48,BD40=BD39),BH50,"kkk"),"kkk")</f>
        <v>#VALUE!</v>
      </c>
      <c r="ER49" s="54" t="s">
        <v>53</v>
      </c>
      <c r="ES49" s="33" t="e">
        <f>IF(BD40&lt;&gt;"ùùù",IF(AND(CF49=CF50,BD40=BD41),BL54,"kkk"),"kkk")</f>
        <v>#VALUE!</v>
      </c>
      <c r="ET49" s="48"/>
      <c r="EU49" s="59" t="e">
        <f>SUM(EP49:ET49)</f>
        <v>#VALUE!</v>
      </c>
      <c r="EV49" s="31" t="s">
        <v>36</v>
      </c>
      <c r="EW49" s="33" t="e">
        <f>IF(AND(CF49=CF47,BC40=BC38),+AG51+AI51+AK51+AM51+AO51,"xxx")</f>
        <v>#VALUE!</v>
      </c>
      <c r="EX49" s="33" t="e">
        <f>IF(AND(CF49=CF48,BC40=BC39),+AG50+AI50+AK50+AM50+AO50,"xxx")</f>
        <v>#VALUE!</v>
      </c>
      <c r="EY49" s="54" t="s">
        <v>53</v>
      </c>
      <c r="EZ49" s="33" t="e">
        <f>IF(AND(CF49=CF50,BC40=BC41),+AF54+AH54+AJ54+AL54+AN54,"xxx")</f>
        <v>#VALUE!</v>
      </c>
      <c r="FA49" s="48"/>
      <c r="FB49" s="59" t="e">
        <f>SUM(EW49:FA49)</f>
        <v>#VALUE!</v>
      </c>
      <c r="FC49" s="31" t="s">
        <v>36</v>
      </c>
      <c r="FD49" s="33" t="e">
        <f>IF(AND(CF49=CF47,BC40=BC38),+AF51+AH51+AJ51+AL51+AN51,"xxx")</f>
        <v>#VALUE!</v>
      </c>
      <c r="FE49" s="33" t="e">
        <f>IF(AND(CF49=CF48,BC40=BC39),+AF50+AH50+AJ50+AL50+AN50,"xxx")</f>
        <v>#VALUE!</v>
      </c>
      <c r="FF49" s="54" t="s">
        <v>53</v>
      </c>
      <c r="FG49" s="33" t="e">
        <f>IF(AND(CF49=CF50,BC40=BC41),+AG54+AI54+AK54+AM54+AO54,"xxx")</f>
        <v>#VALUE!</v>
      </c>
      <c r="FH49" s="48"/>
      <c r="FI49" s="59" t="e">
        <f>SUM(FD49:FH49)</f>
        <v>#VALUE!</v>
      </c>
      <c r="FJ49" s="2"/>
      <c r="FK49" s="2"/>
      <c r="FL49" s="2"/>
      <c r="FM49" s="2"/>
    </row>
    <row r="50" spans="1:169" ht="27.95" customHeight="1" thickBot="1" x14ac:dyDescent="0.25">
      <c r="A50" s="525">
        <v>3</v>
      </c>
      <c r="B50" s="560" t="s">
        <v>13</v>
      </c>
      <c r="C50" s="561">
        <v>4</v>
      </c>
      <c r="D50" s="562"/>
      <c r="E50" s="563">
        <f>E49+0.0205</f>
        <v>0.10450000000000001</v>
      </c>
      <c r="F50" s="564">
        <f>F45</f>
        <v>0</v>
      </c>
      <c r="G50" s="819" t="str">
        <f t="shared" si="25"/>
        <v>CARRE Zoé</v>
      </c>
      <c r="H50" s="820"/>
      <c r="I50" s="820"/>
      <c r="J50" s="820"/>
      <c r="K50" s="820"/>
      <c r="L50" s="517" t="s">
        <v>9</v>
      </c>
      <c r="M50" s="820">
        <f t="shared" si="26"/>
        <v>0</v>
      </c>
      <c r="N50" s="820"/>
      <c r="O50" s="820"/>
      <c r="P50" s="820"/>
      <c r="Q50" s="824"/>
      <c r="R50" s="592"/>
      <c r="S50" s="593"/>
      <c r="T50" s="593"/>
      <c r="U50" s="594"/>
      <c r="V50" s="594"/>
      <c r="W50" s="538"/>
      <c r="X50" s="568"/>
      <c r="Y50" s="569"/>
      <c r="Z50" s="570" t="str">
        <f>IF(AND(COUNTIF(($R50:$V50),"&gt;0")&gt;=2),1,IF(AND(COUNTIF(($R50:$V50),"&lt;0")&gt;=2),0,blanc))</f>
        <v xml:space="preserve"> </v>
      </c>
      <c r="AA50" s="571" t="str">
        <f>IF(AND(Z50=0),1,IF(AND(Z50=1),0,blanc))</f>
        <v xml:space="preserve"> </v>
      </c>
      <c r="AC50" s="90">
        <f>IF(AF39&lt;&gt;" ",AF39," ")</f>
        <v>2</v>
      </c>
      <c r="AD50" s="41">
        <f>IF(AF40&lt;&gt;" ",AF40," ")</f>
        <v>3</v>
      </c>
      <c r="AE50" s="53" t="str">
        <f t="shared" si="29"/>
        <v xml:space="preserve"> </v>
      </c>
      <c r="AF50" s="84">
        <f t="shared" si="30"/>
        <v>0</v>
      </c>
      <c r="AG50" s="85">
        <f t="shared" si="31"/>
        <v>0</v>
      </c>
      <c r="AH50" s="82">
        <f t="shared" si="32"/>
        <v>0</v>
      </c>
      <c r="AI50" s="85">
        <f t="shared" si="33"/>
        <v>0</v>
      </c>
      <c r="AJ50" s="86">
        <f t="shared" si="34"/>
        <v>0</v>
      </c>
      <c r="AK50" s="85">
        <f t="shared" si="35"/>
        <v>0</v>
      </c>
      <c r="AL50" s="86">
        <f t="shared" si="36"/>
        <v>0</v>
      </c>
      <c r="AM50" s="85">
        <f t="shared" si="37"/>
        <v>0</v>
      </c>
      <c r="AN50" s="86">
        <f t="shared" si="38"/>
        <v>0</v>
      </c>
      <c r="AO50" s="87">
        <f t="shared" si="39"/>
        <v>0</v>
      </c>
      <c r="AP50" s="10"/>
      <c r="AQ50" s="12">
        <f>IF(BI50&gt;0,1,0)</f>
        <v>0</v>
      </c>
      <c r="AR50" s="12">
        <f>IF(BI50&lt;0,1,0)</f>
        <v>0</v>
      </c>
      <c r="AT50" s="24"/>
      <c r="AU50" s="60"/>
      <c r="AV50" s="2"/>
      <c r="AW50" s="2"/>
      <c r="AX50" s="2"/>
      <c r="AY50" s="13"/>
      <c r="AZ50" s="15">
        <f>IF(BI50&gt;0,1,0)</f>
        <v>0</v>
      </c>
      <c r="BA50" s="15">
        <f>IF(BI50&lt;0,1,0)</f>
        <v>0</v>
      </c>
      <c r="BB50" s="91"/>
      <c r="BC50" s="33">
        <f t="shared" si="40"/>
        <v>0</v>
      </c>
      <c r="BD50" s="33">
        <f t="shared" si="41"/>
        <v>0</v>
      </c>
      <c r="BE50" s="33">
        <f t="shared" si="42"/>
        <v>0</v>
      </c>
      <c r="BF50" s="33">
        <f t="shared" si="43"/>
        <v>0</v>
      </c>
      <c r="BG50" s="33">
        <f t="shared" si="44"/>
        <v>0</v>
      </c>
      <c r="BH50" s="33" t="str">
        <f t="shared" si="45"/>
        <v>M</v>
      </c>
      <c r="BI50" s="33">
        <f t="shared" si="46"/>
        <v>0</v>
      </c>
      <c r="BJ50" s="33"/>
      <c r="BK50" s="33"/>
      <c r="BL50" s="33" t="e">
        <f t="shared" si="47"/>
        <v>#VALUE!</v>
      </c>
      <c r="BM50" s="33">
        <f t="shared" si="48"/>
        <v>0</v>
      </c>
      <c r="BN50" s="33"/>
      <c r="BO50" s="50"/>
      <c r="BQ50" s="1"/>
      <c r="BR50" s="62"/>
      <c r="BS50" s="31" t="str">
        <f>AE41</f>
        <v>D</v>
      </c>
      <c r="BT50" s="31" t="e">
        <f>CA47</f>
        <v>#VALUE!</v>
      </c>
      <c r="BU50" s="31" t="str">
        <f>BZ47</f>
        <v>M</v>
      </c>
      <c r="BV50" s="31" t="e">
        <f>CA48</f>
        <v>#VALUE!</v>
      </c>
      <c r="BW50" s="31" t="str">
        <f>BZ48</f>
        <v>M</v>
      </c>
      <c r="BX50" s="31" t="e">
        <f>CA49</f>
        <v>#VALUE!</v>
      </c>
      <c r="BY50" s="31" t="str">
        <f>BZ49</f>
        <v>M</v>
      </c>
      <c r="BZ50" s="77"/>
      <c r="CA50" s="92"/>
      <c r="CB50" s="62"/>
      <c r="CC50" s="62"/>
      <c r="CD50" s="61"/>
      <c r="CE50" s="61"/>
      <c r="CF50" s="59" t="e">
        <f t="shared" si="27"/>
        <v>#VALUE!</v>
      </c>
      <c r="CG50" s="34" t="e">
        <f t="shared" si="28"/>
        <v>#VALUE!</v>
      </c>
      <c r="CH50" s="38" t="e">
        <f>IF(BT50&gt;BU50,1,0)</f>
        <v>#VALUE!</v>
      </c>
      <c r="CI50" s="38" t="e">
        <f>IF(BV50&gt;BW50,1,0)</f>
        <v>#VALUE!</v>
      </c>
      <c r="CJ50" s="38" t="e">
        <f>IF(BX50&gt;BY50,1,0)</f>
        <v>#VALUE!</v>
      </c>
      <c r="CK50" s="38">
        <f>IF(CB50&gt;CC50,1,0)</f>
        <v>0</v>
      </c>
      <c r="CL50" s="38">
        <f>IF(CD50&gt;CE50,1,0)</f>
        <v>0</v>
      </c>
      <c r="CM50" s="93" t="e">
        <f>IF(BT50&lt;BU50,1,0)</f>
        <v>#VALUE!</v>
      </c>
      <c r="CN50" s="38" t="e">
        <f>IF(BV50&lt;BW50,1,0)</f>
        <v>#VALUE!</v>
      </c>
      <c r="CO50" s="38" t="e">
        <f>IF(BX50&lt;BY50,1,0)</f>
        <v>#VALUE!</v>
      </c>
      <c r="CP50" s="38">
        <f>IF(CB50&lt;CC50,1,0)</f>
        <v>0</v>
      </c>
      <c r="CQ50" s="38">
        <f>IF(CD50&lt;CE50,1,0)</f>
        <v>0</v>
      </c>
      <c r="CR50" s="38" t="s">
        <v>61</v>
      </c>
      <c r="CS50" s="39" t="e">
        <f>IF(CF50=CF47,BB49,"xxx")</f>
        <v>#VALUE!</v>
      </c>
      <c r="CT50" s="39" t="e">
        <f>IF(CF50=CF48,BB52,"xxx")</f>
        <v>#VALUE!</v>
      </c>
      <c r="CU50" s="39" t="e">
        <f>IF(CF50=CF49,BB54,"xxx")</f>
        <v>#VALUE!</v>
      </c>
      <c r="CV50" s="57" t="s">
        <v>53</v>
      </c>
      <c r="CW50" s="40"/>
      <c r="CX50" s="59" t="e">
        <f>SUM(CS50:CW50)</f>
        <v>#VALUE!</v>
      </c>
      <c r="CY50" s="38" t="s">
        <v>61</v>
      </c>
      <c r="CZ50" s="39" t="e">
        <f>IF(CF50=CF47,AY49,"xxx")</f>
        <v>#VALUE!</v>
      </c>
      <c r="DA50" s="39" t="e">
        <f>IF(CF50=CF48,AZ52,"xxx")</f>
        <v>#VALUE!</v>
      </c>
      <c r="DB50" s="39" t="e">
        <f>IF(CF50=CF49,BA54,"xxx")</f>
        <v>#VALUE!</v>
      </c>
      <c r="DC50" s="57" t="s">
        <v>53</v>
      </c>
      <c r="DD50" s="40"/>
      <c r="DE50" s="94" t="e">
        <f>SUM(CZ50:DD50)</f>
        <v>#VALUE!</v>
      </c>
      <c r="DF50" s="38" t="s">
        <v>61</v>
      </c>
      <c r="DG50" s="39" t="e">
        <f>IF(AND(BA41&lt;&gt;0,AY41=AY38),IF(BA41=BA38,BB49,"xxx"),"xxx")</f>
        <v>#VALUE!</v>
      </c>
      <c r="DH50" s="39" t="e">
        <f>IF(AND(BA41&lt;&gt;0,AY41=AY39),IF(BA41=BA39,BB52,"xxx"),"xxx")</f>
        <v>#VALUE!</v>
      </c>
      <c r="DI50" s="39" t="e">
        <f>IF(AND(BA41&lt;&gt;0,AY41=AY40),IF(BA41=BA40,BB54,"xxx"),"xxx")</f>
        <v>#VALUE!</v>
      </c>
      <c r="DJ50" s="57" t="s">
        <v>53</v>
      </c>
      <c r="DK50" s="40"/>
      <c r="DL50" s="59" t="e">
        <f>SUM(DG50:DK50)</f>
        <v>#VALUE!</v>
      </c>
      <c r="DM50" s="38" t="s">
        <v>61</v>
      </c>
      <c r="DN50" s="39" t="e">
        <f>IF(AND(BA41&lt;&gt;0,AY41=AY38),IF(BA41=BA38,AY49,"xxx"),"xxx")</f>
        <v>#VALUE!</v>
      </c>
      <c r="DO50" s="39" t="e">
        <f>IF(AND(BA41&lt;&gt;0,AY41=AY39),IF(BA41=BA39,AZ52,"xxx"),"xxx")</f>
        <v>#VALUE!</v>
      </c>
      <c r="DP50" s="39" t="e">
        <f>IF(AND(BA41&lt;&gt;0,AY41=AY40),IF(BA41=BA40,BA54,"xxx"),"xxx")</f>
        <v>#VALUE!</v>
      </c>
      <c r="DQ50" s="57" t="s">
        <v>53</v>
      </c>
      <c r="DR50" s="40"/>
      <c r="DS50" s="59" t="e">
        <f>SUM(DN50:DR50)</f>
        <v>#VALUE!</v>
      </c>
      <c r="DT50" s="38" t="s">
        <v>61</v>
      </c>
      <c r="DU50" s="39" t="e">
        <f>IF(AND(CF50=CF47,BA41=BA38),BL49,"kkk")</f>
        <v>#VALUE!</v>
      </c>
      <c r="DV50" s="39" t="e">
        <f>IF(AND(CF50=CF48,BA41=BA39),BL52,"kkk")</f>
        <v>#VALUE!</v>
      </c>
      <c r="DW50" s="39" t="e">
        <f>IF(AND(CF50=CF49,BA41=BA40),BL54,"kkk")</f>
        <v>#VALUE!</v>
      </c>
      <c r="DX50" s="57" t="s">
        <v>53</v>
      </c>
      <c r="DY50" s="40"/>
      <c r="DZ50" s="59" t="e">
        <f>SUM(DU50:DY50)</f>
        <v>#VALUE!</v>
      </c>
      <c r="EA50" s="38" t="s">
        <v>61</v>
      </c>
      <c r="EB50" s="39" t="e">
        <f>IF(AND(CF50=CF47,BA41=BA38),BH49,"kkk")</f>
        <v>#VALUE!</v>
      </c>
      <c r="EC50" s="39" t="e">
        <f>IF(AND(CF50=CF48,BA41=BA39),BH52,"kkk")</f>
        <v>#VALUE!</v>
      </c>
      <c r="ED50" s="39" t="e">
        <f>IF(AND(CF50=CF49,BA41=BA40),BH54,"kkk")</f>
        <v>#VALUE!</v>
      </c>
      <c r="EE50" s="57" t="s">
        <v>53</v>
      </c>
      <c r="EF50" s="40"/>
      <c r="EG50" s="59" t="e">
        <f>SUM(EB50:EF50)</f>
        <v>#VALUE!</v>
      </c>
      <c r="EH50" s="38" t="s">
        <v>61</v>
      </c>
      <c r="EI50" s="39" t="e">
        <f>IF(BD41&lt;&gt;"ùùù",IF(AND(CF50=CF47,BD41=BD38),BL49,"kkk"),"kkk")</f>
        <v>#VALUE!</v>
      </c>
      <c r="EJ50" s="39" t="e">
        <f>IF(BD41&lt;&gt;"ùùù",IF(AND(CF50=CF48,BD41=BD39),BL52,"kkk"),"kkk")</f>
        <v>#VALUE!</v>
      </c>
      <c r="EK50" s="39" t="e">
        <f>IF(BD41&lt;&gt;"ùùù",IF(AND(CF50=CF49,BD41=BD40),BL54,"kkk"),"kkk")</f>
        <v>#VALUE!</v>
      </c>
      <c r="EL50" s="57" t="s">
        <v>53</v>
      </c>
      <c r="EM50" s="40"/>
      <c r="EN50" s="59" t="e">
        <f>SUM(EI50:EM50)</f>
        <v>#VALUE!</v>
      </c>
      <c r="EO50" s="38" t="s">
        <v>61</v>
      </c>
      <c r="EP50" s="39" t="e">
        <f>IF(BD41&lt;&gt;"ùùù",IF(AND(CF50=CF47,BD41=BD38),BH49,"kkk"),"kkk")</f>
        <v>#VALUE!</v>
      </c>
      <c r="EQ50" s="39" t="e">
        <f>IF(BD41&lt;&gt;"ùùù",IF(AND(CF50=CF48,BD41=BD39),BH52,"kkk"),"kkk")</f>
        <v>#VALUE!</v>
      </c>
      <c r="ER50" s="39" t="e">
        <f>IF(BD41&lt;&gt;"ùùù",IF(AND(CF50=CF49,BD41=BD40),BH54,"kkk"),"kkk")</f>
        <v>#VALUE!</v>
      </c>
      <c r="ES50" s="57" t="s">
        <v>53</v>
      </c>
      <c r="ET50" s="40"/>
      <c r="EU50" s="59" t="e">
        <f>SUM(EP50:ET50)</f>
        <v>#VALUE!</v>
      </c>
      <c r="EV50" s="38" t="s">
        <v>61</v>
      </c>
      <c r="EW50" s="39" t="e">
        <f>IF(AND(CF50=CF47,BC41=BC38),+AG49+AI49+AK49+AM49+AO49,"xxx")</f>
        <v>#VALUE!</v>
      </c>
      <c r="EX50" s="39" t="e">
        <f>IF(AND(CF50=CF48,BC41=BC39),+AG52+AI52+AK52+AM52+AO52,"xxx")</f>
        <v>#VALUE!</v>
      </c>
      <c r="EY50" s="39" t="e">
        <f>IF(AND(CF50=CF49,BC40=BC41),+AG54+AI54+AK54+AM54+AO54,"xxx")</f>
        <v>#VALUE!</v>
      </c>
      <c r="EZ50" s="57" t="s">
        <v>53</v>
      </c>
      <c r="FA50" s="40"/>
      <c r="FB50" s="59" t="e">
        <f>SUM(EW50:FA50)</f>
        <v>#VALUE!</v>
      </c>
      <c r="FC50" s="38" t="s">
        <v>61</v>
      </c>
      <c r="FD50" s="39" t="e">
        <f>IF(AND(CF50=CF47,BC41=BC38),+AF49+AH49+AJ49+AL49+AN49,"xxx")</f>
        <v>#VALUE!</v>
      </c>
      <c r="FE50" s="39" t="e">
        <f>IF(AND(CF50=CF48,BC41=BC39),+AF52+AH52+AJ52+AL52+AN52,"xxx")</f>
        <v>#VALUE!</v>
      </c>
      <c r="FF50" s="39" t="e">
        <f>IF(AND(CF50=CF49,BC41=BC40),+AF54+AH54+AJ54+AL54+AN54,"xxx")</f>
        <v>#VALUE!</v>
      </c>
      <c r="FG50" s="57" t="s">
        <v>53</v>
      </c>
      <c r="FH50" s="40"/>
      <c r="FI50" s="59" t="e">
        <f>SUM(FD50:FH50)</f>
        <v>#VALUE!</v>
      </c>
      <c r="FJ50" s="2"/>
      <c r="FK50" s="2"/>
      <c r="FL50" s="2"/>
      <c r="FM50" s="2"/>
    </row>
    <row r="51" spans="1:169" ht="21.95" customHeight="1" x14ac:dyDescent="0.2">
      <c r="A51" s="503"/>
      <c r="B51" s="503"/>
      <c r="C51" s="502"/>
      <c r="D51" s="502"/>
      <c r="E51" s="502"/>
      <c r="F51" s="502"/>
      <c r="G51" s="503"/>
      <c r="H51" s="506"/>
      <c r="I51" s="506"/>
      <c r="J51" s="506"/>
      <c r="K51" s="506"/>
      <c r="L51" s="572">
        <v>6</v>
      </c>
      <c r="M51" s="511"/>
      <c r="N51" s="572" t="s">
        <v>3</v>
      </c>
      <c r="O51" s="886" t="s">
        <v>17</v>
      </c>
      <c r="P51" s="887"/>
      <c r="Q51" s="887"/>
      <c r="R51" s="875"/>
      <c r="S51" s="875"/>
      <c r="T51" s="875"/>
      <c r="U51" s="875"/>
      <c r="V51" s="876"/>
      <c r="W51" s="573"/>
      <c r="X51" s="595" t="str">
        <f>IF($R$45="","",SUM(X45:X50))</f>
        <v/>
      </c>
      <c r="Y51" s="596" t="str">
        <f>IF($R$45="","",SUM(Y45:Y50))</f>
        <v/>
      </c>
      <c r="Z51" s="596" t="str">
        <f>IF($R$45="","",SUM(Z45:Z50))</f>
        <v/>
      </c>
      <c r="AA51" s="597" t="str">
        <f>IF($R$45="","",SUM(AA45:AA50))</f>
        <v/>
      </c>
      <c r="AB51" s="604">
        <f>SUM(X51:AA51)</f>
        <v>0</v>
      </c>
      <c r="AC51" s="90">
        <f>IF(AF38&lt;&gt;" ",AF38," ")</f>
        <v>1</v>
      </c>
      <c r="AD51" s="41">
        <f>IF(AF40&lt;&gt;" ",AF40," ")</f>
        <v>3</v>
      </c>
      <c r="AE51" s="53" t="str">
        <f t="shared" si="29"/>
        <v xml:space="preserve"> </v>
      </c>
      <c r="AF51" s="84">
        <f t="shared" si="30"/>
        <v>0</v>
      </c>
      <c r="AG51" s="85">
        <f t="shared" si="31"/>
        <v>0</v>
      </c>
      <c r="AH51" s="82">
        <f t="shared" si="32"/>
        <v>0</v>
      </c>
      <c r="AI51" s="85">
        <f t="shared" si="33"/>
        <v>0</v>
      </c>
      <c r="AJ51" s="86">
        <f t="shared" si="34"/>
        <v>0</v>
      </c>
      <c r="AK51" s="85">
        <f t="shared" si="35"/>
        <v>0</v>
      </c>
      <c r="AL51" s="86">
        <f t="shared" si="36"/>
        <v>0</v>
      </c>
      <c r="AM51" s="85">
        <f t="shared" si="37"/>
        <v>0</v>
      </c>
      <c r="AN51" s="86">
        <f t="shared" si="38"/>
        <v>0</v>
      </c>
      <c r="AO51" s="87">
        <f t="shared" si="39"/>
        <v>0</v>
      </c>
      <c r="AP51" s="16">
        <f>IF(BI51&gt;0,1,0)</f>
        <v>0</v>
      </c>
      <c r="AQ51" s="11"/>
      <c r="AR51" s="27">
        <f>IF(BI51&lt;0,1,0)</f>
        <v>0</v>
      </c>
      <c r="AS51" s="25"/>
      <c r="AT51" s="88"/>
      <c r="AU51" s="60"/>
      <c r="AV51" s="2"/>
      <c r="AW51" s="2"/>
      <c r="AX51" s="2"/>
      <c r="AY51" s="17">
        <f>IF(BI51&gt;0,1,0)</f>
        <v>0</v>
      </c>
      <c r="AZ51" s="14"/>
      <c r="BA51" s="15">
        <f>IF(BI51&lt;0,1,0)</f>
        <v>0</v>
      </c>
      <c r="BB51" s="29"/>
      <c r="BC51" s="33">
        <f t="shared" si="40"/>
        <v>0</v>
      </c>
      <c r="BD51" s="33">
        <f t="shared" si="41"/>
        <v>0</v>
      </c>
      <c r="BE51" s="33">
        <f t="shared" si="42"/>
        <v>0</v>
      </c>
      <c r="BF51" s="33">
        <f t="shared" si="43"/>
        <v>0</v>
      </c>
      <c r="BG51" s="33">
        <f t="shared" si="44"/>
        <v>0</v>
      </c>
      <c r="BH51" s="33" t="str">
        <f t="shared" si="45"/>
        <v>M</v>
      </c>
      <c r="BI51" s="33">
        <f t="shared" si="46"/>
        <v>0</v>
      </c>
      <c r="BJ51" s="33"/>
      <c r="BK51" s="33"/>
      <c r="BL51" s="33" t="e">
        <f t="shared" si="47"/>
        <v>#VALUE!</v>
      </c>
      <c r="BM51" s="33">
        <f t="shared" si="48"/>
        <v>0</v>
      </c>
      <c r="BN51" s="33"/>
      <c r="BO51" s="50"/>
      <c r="BQ51" s="1"/>
      <c r="BR51" s="62"/>
      <c r="BS51" s="38">
        <f>AE42</f>
        <v>0</v>
      </c>
      <c r="BT51" s="38">
        <f>CC47</f>
        <v>0</v>
      </c>
      <c r="BU51" s="38">
        <f>CB47</f>
        <v>0</v>
      </c>
      <c r="BV51" s="38">
        <f>CC48</f>
        <v>0</v>
      </c>
      <c r="BW51" s="38">
        <f>CB48</f>
        <v>0</v>
      </c>
      <c r="BX51" s="38">
        <f>CC49</f>
        <v>0</v>
      </c>
      <c r="BY51" s="38">
        <f>CB49</f>
        <v>0</v>
      </c>
      <c r="BZ51" s="38">
        <f>CC50</f>
        <v>0</v>
      </c>
      <c r="CA51" s="58">
        <f>CB50</f>
        <v>0</v>
      </c>
      <c r="CB51" s="61"/>
      <c r="CC51" s="61"/>
      <c r="CD51" s="61"/>
      <c r="CE51" s="61"/>
      <c r="CF51" s="59">
        <f t="shared" si="27"/>
        <v>0</v>
      </c>
      <c r="CG51" s="34">
        <f t="shared" si="28"/>
        <v>0</v>
      </c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0"/>
      <c r="CT51" s="60"/>
      <c r="CU51" s="60"/>
      <c r="CV51" s="60"/>
      <c r="CW51" s="60"/>
      <c r="CX51" s="60"/>
      <c r="CY51" s="61"/>
      <c r="CZ51" s="60"/>
      <c r="DA51" s="60"/>
      <c r="DB51" s="60"/>
      <c r="DC51" s="60"/>
      <c r="DD51" s="60"/>
      <c r="DE51" s="60"/>
      <c r="DF51" s="61"/>
      <c r="DG51" s="60"/>
      <c r="DH51" s="60"/>
      <c r="DI51" s="60"/>
      <c r="DJ51" s="60"/>
      <c r="DK51" s="60"/>
      <c r="DL51" s="60"/>
      <c r="DM51" s="61"/>
      <c r="DN51" s="60"/>
      <c r="DO51" s="60"/>
      <c r="DP51" s="60"/>
      <c r="DQ51" s="60"/>
      <c r="DR51" s="60"/>
      <c r="DS51" s="60"/>
      <c r="DT51" s="61"/>
      <c r="DU51" s="60"/>
      <c r="DV51" s="60"/>
      <c r="DW51" s="60"/>
      <c r="DX51" s="60"/>
      <c r="DY51" s="60"/>
      <c r="DZ51" s="60"/>
      <c r="EA51" s="61"/>
      <c r="EB51" s="60"/>
      <c r="EC51" s="60"/>
      <c r="ED51" s="60"/>
      <c r="EE51" s="60"/>
      <c r="EF51" s="60"/>
      <c r="EG51" s="60"/>
      <c r="EH51" s="61"/>
      <c r="EI51" s="60"/>
      <c r="EJ51" s="60"/>
      <c r="EK51" s="60"/>
      <c r="EL51" s="60"/>
      <c r="EM51" s="60"/>
      <c r="EN51" s="60"/>
      <c r="EO51" s="61"/>
      <c r="EP51" s="60"/>
      <c r="EQ51" s="60"/>
      <c r="ER51" s="60"/>
      <c r="ES51" s="60"/>
      <c r="ET51" s="60"/>
      <c r="EU51" s="60"/>
      <c r="EV51" s="61"/>
      <c r="EW51" s="60"/>
      <c r="EX51" s="60"/>
      <c r="EY51" s="60"/>
      <c r="EZ51" s="60"/>
      <c r="FA51" s="60"/>
      <c r="FB51" s="60"/>
      <c r="FC51" s="61"/>
      <c r="FD51" s="60"/>
      <c r="FE51" s="60"/>
      <c r="FF51" s="60"/>
      <c r="FG51" s="60"/>
      <c r="FH51" s="60"/>
      <c r="FI51" s="60"/>
      <c r="FJ51" s="2"/>
      <c r="FK51" s="2"/>
      <c r="FL51" s="2"/>
      <c r="FM51" s="2"/>
    </row>
    <row r="52" spans="1:169" ht="21.95" customHeight="1" thickBot="1" x14ac:dyDescent="0.25">
      <c r="A52" s="503"/>
      <c r="B52" s="577" t="s">
        <v>4</v>
      </c>
      <c r="C52" s="503"/>
      <c r="D52" s="503"/>
      <c r="E52" s="503"/>
      <c r="F52" s="503"/>
      <c r="G52" s="503"/>
      <c r="H52" s="506"/>
      <c r="I52" s="506"/>
      <c r="J52" s="506"/>
      <c r="K52" s="578" t="s">
        <v>3</v>
      </c>
      <c r="L52" s="579"/>
      <c r="M52" s="580" t="str">
        <f>IF(AB52=AB51,K52,IF(AB52&gt;AB51,""))</f>
        <v/>
      </c>
      <c r="N52" s="506"/>
      <c r="O52" s="833" t="s">
        <v>18</v>
      </c>
      <c r="P52" s="834"/>
      <c r="Q52" s="834"/>
      <c r="R52" s="834"/>
      <c r="S52" s="834"/>
      <c r="T52" s="834"/>
      <c r="U52" s="834"/>
      <c r="V52" s="835"/>
      <c r="W52" s="573"/>
      <c r="X52" s="581" t="str">
        <f>IF(M52="OK",BK38,"")</f>
        <v/>
      </c>
      <c r="Y52" s="582" t="str">
        <f>IF(M52="OK",BK39,"")</f>
        <v/>
      </c>
      <c r="Z52" s="582" t="str">
        <f>IF(M52="OK",BK40,"")</f>
        <v/>
      </c>
      <c r="AA52" s="598" t="str">
        <f>IF(M52="OK",BK41,"")</f>
        <v/>
      </c>
      <c r="AB52" s="604">
        <v>6</v>
      </c>
      <c r="AC52" s="81">
        <f>IF(AF39&lt;&gt;" ",AF39," ")</f>
        <v>2</v>
      </c>
      <c r="AD52" s="82">
        <f>IF(AF41&lt;&gt;" ",AF41," ")</f>
        <v>4</v>
      </c>
      <c r="AE52" s="53" t="str">
        <f t="shared" si="29"/>
        <v xml:space="preserve"> </v>
      </c>
      <c r="AF52" s="84">
        <f t="shared" si="30"/>
        <v>0</v>
      </c>
      <c r="AG52" s="85">
        <f t="shared" si="31"/>
        <v>0</v>
      </c>
      <c r="AH52" s="82">
        <f t="shared" si="32"/>
        <v>0</v>
      </c>
      <c r="AI52" s="85">
        <f t="shared" si="33"/>
        <v>0</v>
      </c>
      <c r="AJ52" s="86">
        <f t="shared" si="34"/>
        <v>0</v>
      </c>
      <c r="AK52" s="85">
        <f t="shared" si="35"/>
        <v>0</v>
      </c>
      <c r="AL52" s="86">
        <f t="shared" si="36"/>
        <v>0</v>
      </c>
      <c r="AM52" s="85">
        <f t="shared" si="37"/>
        <v>0</v>
      </c>
      <c r="AN52" s="86">
        <f t="shared" si="38"/>
        <v>0</v>
      </c>
      <c r="AO52" s="87">
        <f t="shared" si="39"/>
        <v>0</v>
      </c>
      <c r="AP52" s="10"/>
      <c r="AQ52" s="12">
        <f>IF(BI52&gt;0,1,0)</f>
        <v>0</v>
      </c>
      <c r="AR52" s="91"/>
      <c r="AS52" s="26">
        <f>IF(BI52&lt;0,1,0)</f>
        <v>0</v>
      </c>
      <c r="AT52" s="24"/>
      <c r="AU52" s="60"/>
      <c r="AV52" s="2"/>
      <c r="AW52" s="2"/>
      <c r="AX52" s="2"/>
      <c r="AY52" s="13"/>
      <c r="AZ52" s="18">
        <f>IF(BI52&gt;0,1,0)</f>
        <v>0</v>
      </c>
      <c r="BB52" s="30">
        <f>IF(BI52&lt;0,1,0)</f>
        <v>0</v>
      </c>
      <c r="BC52" s="33">
        <f t="shared" si="40"/>
        <v>0</v>
      </c>
      <c r="BD52" s="33">
        <f t="shared" si="41"/>
        <v>0</v>
      </c>
      <c r="BE52" s="33">
        <f t="shared" si="42"/>
        <v>0</v>
      </c>
      <c r="BF52" s="33">
        <f t="shared" si="43"/>
        <v>0</v>
      </c>
      <c r="BG52" s="33">
        <f t="shared" si="44"/>
        <v>0</v>
      </c>
      <c r="BH52" s="33" t="str">
        <f t="shared" si="45"/>
        <v>M</v>
      </c>
      <c r="BI52" s="33">
        <f t="shared" si="46"/>
        <v>0</v>
      </c>
      <c r="BJ52" s="33"/>
      <c r="BK52" s="33"/>
      <c r="BL52" s="33" t="e">
        <f t="shared" si="47"/>
        <v>#VALUE!</v>
      </c>
      <c r="BM52" s="33">
        <f t="shared" si="48"/>
        <v>0</v>
      </c>
      <c r="BN52" s="33"/>
      <c r="BO52" s="50"/>
      <c r="BQ52" s="1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1"/>
      <c r="CE52" s="61"/>
      <c r="CF52" s="59">
        <f t="shared" si="27"/>
        <v>0</v>
      </c>
      <c r="CG52" s="34">
        <f t="shared" si="28"/>
        <v>0</v>
      </c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0"/>
      <c r="CT52" s="60"/>
      <c r="CU52" s="60"/>
      <c r="CV52" s="60"/>
      <c r="CW52" s="60"/>
      <c r="CX52" s="60"/>
      <c r="CY52" s="59"/>
      <c r="CZ52" s="61"/>
      <c r="DA52" s="60"/>
      <c r="DB52" s="60"/>
      <c r="DC52" s="60"/>
      <c r="DD52" s="60"/>
      <c r="DE52" s="60"/>
      <c r="DF52" s="61"/>
      <c r="DG52" s="60"/>
      <c r="DH52" s="60"/>
      <c r="DI52" s="60"/>
      <c r="DJ52" s="60"/>
      <c r="DK52" s="60"/>
      <c r="DL52" s="60"/>
      <c r="DM52" s="61"/>
      <c r="DN52" s="60"/>
      <c r="DO52" s="60"/>
      <c r="DP52" s="60"/>
      <c r="DQ52" s="60"/>
      <c r="DR52" s="60"/>
      <c r="DS52" s="60"/>
      <c r="DT52" s="62"/>
      <c r="DU52" s="59"/>
      <c r="DV52" s="2"/>
      <c r="DW52" s="62"/>
      <c r="DX52" s="59"/>
      <c r="DY52" s="59"/>
      <c r="DZ52" s="62"/>
      <c r="EA52" s="62"/>
      <c r="EB52" s="59" t="e">
        <f>IF(EG47&gt;0,DZ47/EG47,"???")</f>
        <v>#VALUE!</v>
      </c>
      <c r="EC52" s="59" t="e">
        <f>IF(EG48&gt;0,DZ48/EG48,"???")</f>
        <v>#VALUE!</v>
      </c>
      <c r="ED52" s="59" t="e">
        <f>IF(EG49&gt;0,DZ49/EG49,"???")</f>
        <v>#VALUE!</v>
      </c>
      <c r="EE52" s="59" t="e">
        <f>IF(EG50&gt;0,DZ50/EG50,"???")</f>
        <v>#VALUE!</v>
      </c>
      <c r="EF52" s="59" t="str">
        <f>IF(EG51&gt;0,DZ51/EG51,"???")</f>
        <v>???</v>
      </c>
      <c r="EG52" s="59"/>
      <c r="EH52" s="61"/>
      <c r="EI52" s="60"/>
      <c r="EJ52" s="60"/>
      <c r="EK52" s="60"/>
      <c r="EL52" s="60"/>
      <c r="EM52" s="60"/>
      <c r="EN52" s="59">
        <f>SUM(EI52:EM52)</f>
        <v>0</v>
      </c>
      <c r="EO52" s="61"/>
      <c r="EP52" s="62" t="e">
        <f>IF(EU47&gt;0,EN47/EU47,"???")</f>
        <v>#VALUE!</v>
      </c>
      <c r="EQ52" s="62" t="e">
        <f>IF(EU48&gt;0,EN48/EU48,"???")</f>
        <v>#VALUE!</v>
      </c>
      <c r="ER52" s="62" t="e">
        <f>IF(EU49&gt;0,EN49/EU49,"???")</f>
        <v>#VALUE!</v>
      </c>
      <c r="ES52" s="62" t="e">
        <f>IF(EU50&gt;0,EN50/EU50,"???")</f>
        <v>#VALUE!</v>
      </c>
      <c r="ET52" s="62" t="str">
        <f>IF(EU51&gt;0,EN51/EU51,"???")</f>
        <v>???</v>
      </c>
      <c r="EU52" s="59"/>
      <c r="EV52" s="61"/>
      <c r="EW52" s="60"/>
      <c r="EX52" s="60"/>
      <c r="EY52" s="60"/>
      <c r="EZ52" s="60"/>
      <c r="FA52" s="60"/>
      <c r="FB52" s="95" t="e">
        <f>SUM(FB47:FB51)</f>
        <v>#VALUE!</v>
      </c>
      <c r="FC52" s="61"/>
      <c r="FD52" s="60"/>
      <c r="FF52" s="60"/>
      <c r="FG52" s="60"/>
      <c r="FH52" s="60"/>
      <c r="FI52" s="95" t="e">
        <f>SUM(FI47:FI51)</f>
        <v>#VALUE!</v>
      </c>
      <c r="FJ52" s="2"/>
      <c r="FK52" s="2"/>
      <c r="FL52" s="2"/>
      <c r="FM52" s="2"/>
    </row>
    <row r="53" spans="1:169" ht="27.95" customHeight="1" thickBot="1" x14ac:dyDescent="0.25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6"/>
      <c r="X53" s="504"/>
      <c r="Y53" s="504"/>
      <c r="Z53" s="504"/>
      <c r="AA53" s="506"/>
      <c r="AC53" s="90">
        <f>IF(AF38&lt;&gt;" ",AF38," ")</f>
        <v>1</v>
      </c>
      <c r="AD53" s="41">
        <f>IF(AF39&lt;&gt;" ",AF39," ")</f>
        <v>2</v>
      </c>
      <c r="AE53" s="53" t="str">
        <f t="shared" si="29"/>
        <v xml:space="preserve"> </v>
      </c>
      <c r="AF53" s="84">
        <f t="shared" si="30"/>
        <v>0</v>
      </c>
      <c r="AG53" s="85">
        <f t="shared" si="31"/>
        <v>0</v>
      </c>
      <c r="AH53" s="82">
        <f t="shared" si="32"/>
        <v>0</v>
      </c>
      <c r="AI53" s="85">
        <f t="shared" si="33"/>
        <v>0</v>
      </c>
      <c r="AJ53" s="86">
        <f t="shared" si="34"/>
        <v>0</v>
      </c>
      <c r="AK53" s="85">
        <f t="shared" si="35"/>
        <v>0</v>
      </c>
      <c r="AL53" s="86">
        <f t="shared" si="36"/>
        <v>0</v>
      </c>
      <c r="AM53" s="85">
        <f t="shared" si="37"/>
        <v>0</v>
      </c>
      <c r="AN53" s="86">
        <f t="shared" si="38"/>
        <v>0</v>
      </c>
      <c r="AO53" s="87">
        <f t="shared" si="39"/>
        <v>0</v>
      </c>
      <c r="AP53" s="16">
        <f>IF(BI53&gt;0,1,0)</f>
        <v>0</v>
      </c>
      <c r="AQ53" s="12">
        <f>IF(BI53&lt;0,1,0)</f>
        <v>0</v>
      </c>
      <c r="AR53" s="28"/>
      <c r="AT53" s="24"/>
      <c r="AU53" s="60"/>
      <c r="AV53" s="2"/>
      <c r="AW53" s="2"/>
      <c r="AX53" s="2"/>
      <c r="AY53" s="17">
        <f>IF(BI53&gt;0,1,0)</f>
        <v>0</v>
      </c>
      <c r="AZ53" s="18">
        <f>IF(BI53&lt;0,1,0)</f>
        <v>0</v>
      </c>
      <c r="BA53" s="14"/>
      <c r="BB53" s="96"/>
      <c r="BC53" s="33">
        <f t="shared" si="40"/>
        <v>0</v>
      </c>
      <c r="BD53" s="33">
        <f t="shared" si="41"/>
        <v>0</v>
      </c>
      <c r="BE53" s="33">
        <f t="shared" si="42"/>
        <v>0</v>
      </c>
      <c r="BF53" s="33">
        <f t="shared" si="43"/>
        <v>0</v>
      </c>
      <c r="BG53" s="33">
        <f t="shared" si="44"/>
        <v>0</v>
      </c>
      <c r="BH53" s="33" t="str">
        <f t="shared" si="45"/>
        <v>M</v>
      </c>
      <c r="BI53" s="33">
        <f t="shared" si="46"/>
        <v>0</v>
      </c>
      <c r="BJ53" s="33"/>
      <c r="BK53" s="33"/>
      <c r="BL53" s="33" t="e">
        <f t="shared" si="47"/>
        <v>#VALUE!</v>
      </c>
      <c r="BM53" s="33">
        <f t="shared" si="48"/>
        <v>0</v>
      </c>
      <c r="BN53" s="33"/>
      <c r="BO53" s="50"/>
      <c r="BQ53" s="1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59">
        <f t="shared" si="27"/>
        <v>0</v>
      </c>
      <c r="CG53" s="34">
        <f t="shared" si="28"/>
        <v>0</v>
      </c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59"/>
      <c r="CZ53" s="61"/>
      <c r="DA53" s="60"/>
      <c r="DB53" s="60"/>
      <c r="DC53" s="60"/>
      <c r="DD53" s="60"/>
      <c r="DE53" s="60"/>
      <c r="DF53" s="60"/>
      <c r="DG53" s="60"/>
      <c r="DH53" s="61"/>
      <c r="DI53" s="60"/>
      <c r="DJ53" s="60"/>
      <c r="DK53" s="60"/>
      <c r="DL53" s="60"/>
      <c r="DM53" s="61"/>
      <c r="DN53" s="60"/>
      <c r="DO53" s="60"/>
      <c r="DP53" s="60"/>
      <c r="DQ53" s="60"/>
      <c r="DR53" s="60"/>
      <c r="DS53" s="60"/>
      <c r="DT53" s="62"/>
      <c r="DU53" s="59"/>
      <c r="DV53" s="59"/>
      <c r="DW53" s="59"/>
      <c r="DX53" s="59"/>
      <c r="DY53" s="59"/>
      <c r="DZ53" s="60"/>
      <c r="EA53" s="62"/>
      <c r="EH53" s="61"/>
      <c r="EI53" s="61"/>
      <c r="EJ53" s="61"/>
      <c r="EK53" s="61"/>
      <c r="EL53" s="61"/>
      <c r="EM53" s="61"/>
      <c r="EN53" s="59">
        <f>SUM(EI53:EM53)</f>
        <v>0</v>
      </c>
      <c r="EO53" s="2"/>
      <c r="EP53" s="2"/>
      <c r="EQ53" s="2"/>
      <c r="ER53" s="2"/>
      <c r="ES53" s="2"/>
      <c r="ET53" s="2"/>
      <c r="EU53" s="2"/>
      <c r="EV53" s="61"/>
      <c r="EW53" s="60"/>
      <c r="EX53" s="60"/>
      <c r="EY53" s="59"/>
      <c r="EZ53" s="60"/>
      <c r="FA53" s="60"/>
      <c r="FB53" s="60"/>
      <c r="FC53" s="61"/>
      <c r="FD53" s="60"/>
      <c r="FE53" s="62"/>
      <c r="FF53" s="60"/>
      <c r="FG53" s="60"/>
      <c r="FH53" s="60"/>
      <c r="FI53" s="60"/>
      <c r="FJ53" s="2"/>
      <c r="FK53" s="2"/>
      <c r="FL53" s="2"/>
      <c r="FM53" s="2"/>
    </row>
    <row r="54" spans="1:169" ht="27.95" customHeight="1" thickBot="1" x14ac:dyDescent="0.25">
      <c r="A54" s="881" t="s">
        <v>289</v>
      </c>
      <c r="B54" s="882"/>
      <c r="C54" s="870" t="str">
        <f>IF($AB51&lt;6,"",IF($X52=1,C38,IF($Y52=1,C39,IF($Z52=1,C40,IF($AA52=1,C41)))))</f>
        <v/>
      </c>
      <c r="D54" s="871"/>
      <c r="E54" s="811" t="str">
        <f>IF(C54="","",VLOOKUP(C54,liste!$A$9:$G$145,2,FALSE))</f>
        <v/>
      </c>
      <c r="F54" s="812"/>
      <c r="G54" s="812"/>
      <c r="H54" s="812"/>
      <c r="I54" s="813"/>
      <c r="J54" s="584" t="str">
        <f>IF(C54="","",VLOOKUP(C54,liste!$A$9:$G$145,4,FALSE))</f>
        <v/>
      </c>
      <c r="K54" s="811" t="str">
        <f>IF(C54="","",VLOOKUP(C54,liste!$A$9:$G$145,3,FALSE))</f>
        <v/>
      </c>
      <c r="L54" s="812"/>
      <c r="M54" s="812"/>
      <c r="N54" s="813"/>
      <c r="O54" s="513"/>
      <c r="P54" s="892" t="s">
        <v>294</v>
      </c>
      <c r="Q54" s="892"/>
      <c r="R54" s="892"/>
      <c r="S54" s="504"/>
      <c r="T54" s="504"/>
      <c r="U54" s="504"/>
      <c r="V54" s="504"/>
      <c r="W54" s="504"/>
      <c r="X54" s="504"/>
      <c r="Y54" s="504"/>
      <c r="Z54" s="504"/>
      <c r="AA54" s="506"/>
      <c r="AC54" s="90">
        <f>IF(AF40&lt;&gt;" ",AF40," ")</f>
        <v>3</v>
      </c>
      <c r="AD54" s="41">
        <f>IF(AF41&lt;&gt;" ",AF41," ")</f>
        <v>4</v>
      </c>
      <c r="AE54" s="53" t="str">
        <f t="shared" si="29"/>
        <v xml:space="preserve"> </v>
      </c>
      <c r="AF54" s="84">
        <f t="shared" si="30"/>
        <v>0</v>
      </c>
      <c r="AG54" s="85">
        <f t="shared" si="31"/>
        <v>0</v>
      </c>
      <c r="AH54" s="82">
        <f t="shared" si="32"/>
        <v>0</v>
      </c>
      <c r="AI54" s="85">
        <f t="shared" si="33"/>
        <v>0</v>
      </c>
      <c r="AJ54" s="86">
        <f t="shared" si="34"/>
        <v>0</v>
      </c>
      <c r="AK54" s="85">
        <f t="shared" si="35"/>
        <v>0</v>
      </c>
      <c r="AL54" s="86">
        <f t="shared" si="36"/>
        <v>0</v>
      </c>
      <c r="AM54" s="85">
        <f t="shared" si="37"/>
        <v>0</v>
      </c>
      <c r="AN54" s="86">
        <f t="shared" si="38"/>
        <v>0</v>
      </c>
      <c r="AO54" s="87">
        <f t="shared" si="39"/>
        <v>0</v>
      </c>
      <c r="AP54" s="10"/>
      <c r="AR54" s="12">
        <f>IF(BI54&gt;0,1,0)</f>
        <v>0</v>
      </c>
      <c r="AS54" s="27">
        <f>IF(BI54&lt;0,1,0)</f>
        <v>0</v>
      </c>
      <c r="AT54" s="88"/>
      <c r="AU54" s="60"/>
      <c r="AV54" s="2"/>
      <c r="AW54" s="2"/>
      <c r="AX54" s="2"/>
      <c r="AY54" s="19"/>
      <c r="AZ54" s="21"/>
      <c r="BA54" s="20">
        <f>IF(BI54&gt;0,1,0)</f>
        <v>0</v>
      </c>
      <c r="BB54" s="20">
        <f>IF(BI54&lt;0,1,0)</f>
        <v>0</v>
      </c>
      <c r="BC54" s="97">
        <f t="shared" si="40"/>
        <v>0</v>
      </c>
      <c r="BD54" s="97">
        <f t="shared" si="41"/>
        <v>0</v>
      </c>
      <c r="BE54" s="97">
        <f t="shared" si="42"/>
        <v>0</v>
      </c>
      <c r="BF54" s="97">
        <f t="shared" si="43"/>
        <v>0</v>
      </c>
      <c r="BG54" s="97">
        <f t="shared" si="44"/>
        <v>0</v>
      </c>
      <c r="BH54" s="97" t="str">
        <f t="shared" si="45"/>
        <v>M</v>
      </c>
      <c r="BI54" s="97">
        <f t="shared" si="46"/>
        <v>0</v>
      </c>
      <c r="BJ54" s="97"/>
      <c r="BK54" s="97"/>
      <c r="BL54" s="97" t="e">
        <f t="shared" si="47"/>
        <v>#VALUE!</v>
      </c>
      <c r="BM54" s="97">
        <f t="shared" si="48"/>
        <v>0</v>
      </c>
      <c r="BN54" s="97"/>
      <c r="BO54" s="98"/>
      <c r="BQ54" s="1"/>
      <c r="BR54" s="62"/>
      <c r="BS54" s="62">
        <f>AE45</f>
        <v>0</v>
      </c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59"/>
      <c r="DB54" s="59"/>
      <c r="DC54" s="59"/>
      <c r="DD54" s="59"/>
      <c r="DE54" s="59"/>
      <c r="DF54" s="59"/>
      <c r="DG54" s="62"/>
      <c r="DH54" s="62"/>
      <c r="DI54" s="59"/>
      <c r="DJ54" s="59"/>
      <c r="DK54" s="59"/>
      <c r="DL54" s="59"/>
      <c r="DM54" s="59"/>
      <c r="DN54" s="59"/>
      <c r="DO54" s="62"/>
      <c r="DP54" s="62"/>
      <c r="DQ54" s="59"/>
      <c r="DR54" s="59"/>
      <c r="DS54" s="59"/>
      <c r="DT54" s="2"/>
      <c r="DU54" s="2"/>
      <c r="DV54" s="2"/>
      <c r="DW54" s="2"/>
      <c r="DX54" s="2"/>
      <c r="DY54" s="2"/>
      <c r="DZ54" s="2"/>
      <c r="EA54" s="62"/>
      <c r="EB54" s="2"/>
      <c r="EC54" s="2"/>
      <c r="ED54" s="2"/>
      <c r="EE54" s="2"/>
      <c r="EF54" s="2"/>
      <c r="EG54" s="60"/>
      <c r="EH54" s="62"/>
      <c r="EI54" s="62"/>
      <c r="EJ54" s="62"/>
      <c r="EK54" s="62"/>
      <c r="EL54" s="62"/>
      <c r="EM54" s="62"/>
      <c r="EN54" s="62"/>
      <c r="EO54" s="2"/>
      <c r="EP54" s="2"/>
      <c r="EQ54" s="2"/>
      <c r="ER54" s="2"/>
      <c r="ES54" s="2"/>
      <c r="ET54" s="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F54" s="62"/>
      <c r="FG54" s="62"/>
      <c r="FH54" s="62"/>
      <c r="FI54" s="62"/>
      <c r="FJ54" s="2"/>
      <c r="FK54" s="2"/>
      <c r="FL54" s="2"/>
      <c r="FM54" s="2"/>
    </row>
    <row r="55" spans="1:169" ht="27.95" customHeight="1" thickTop="1" thickBot="1" x14ac:dyDescent="0.25">
      <c r="A55" s="877" t="s">
        <v>290</v>
      </c>
      <c r="B55" s="878"/>
      <c r="C55" s="868" t="str">
        <f>IF($AB51&lt;6,"",IF($X52=2,C38,IF($Y52=2,C39,IF($Z52=2,C40,IF($AA52=2,C41)))))</f>
        <v/>
      </c>
      <c r="D55" s="869"/>
      <c r="E55" s="804" t="str">
        <f>IF(C55="","",VLOOKUP(C55,liste!$A$9:$G$145,2,FALSE))</f>
        <v/>
      </c>
      <c r="F55" s="805"/>
      <c r="G55" s="805"/>
      <c r="H55" s="805"/>
      <c r="I55" s="806"/>
      <c r="J55" s="585" t="str">
        <f>IF(C55="","",VLOOKUP(C55,liste!$A$9:$G$145,4,FALSE))</f>
        <v/>
      </c>
      <c r="K55" s="804" t="str">
        <f>IF(C55="","",VLOOKUP(C55,liste!$A$9:$G$145,3,FALSE))</f>
        <v/>
      </c>
      <c r="L55" s="805"/>
      <c r="M55" s="805"/>
      <c r="N55" s="806"/>
      <c r="O55" s="504"/>
      <c r="P55" s="825">
        <f>$P$26</f>
        <v>0</v>
      </c>
      <c r="Q55" s="825"/>
      <c r="R55" s="825"/>
      <c r="S55" s="825"/>
      <c r="T55" s="825"/>
      <c r="U55" s="825"/>
      <c r="V55" s="504"/>
      <c r="W55" s="504"/>
      <c r="X55" s="504"/>
      <c r="Y55" s="504"/>
      <c r="Z55" s="504"/>
      <c r="AA55" s="506"/>
      <c r="AC55" s="99"/>
      <c r="AD55" s="100"/>
      <c r="AE55" s="100"/>
      <c r="AF55" s="101"/>
      <c r="AG55" s="101"/>
      <c r="AH55" s="101"/>
      <c r="AI55" s="101"/>
      <c r="AJ55" s="102"/>
      <c r="AK55" s="102"/>
      <c r="AL55" s="103"/>
      <c r="AM55" s="102" t="s">
        <v>72</v>
      </c>
      <c r="AN55" s="101"/>
      <c r="AO55" s="104"/>
      <c r="AP55" s="105">
        <f>SUM(AP49:AP54)</f>
        <v>0</v>
      </c>
      <c r="AQ55" s="106">
        <f>SUM(AQ49:AQ54)</f>
        <v>0</v>
      </c>
      <c r="AR55" s="106">
        <f>SUM(AR49:AR54)</f>
        <v>0</v>
      </c>
      <c r="AS55" s="107">
        <f>SUM(AS49:AS54)</f>
        <v>0</v>
      </c>
      <c r="AT55" s="108">
        <f>SUM(AT49:AT54)</f>
        <v>0</v>
      </c>
      <c r="AU55" s="60"/>
      <c r="AV55" s="2"/>
      <c r="AW55" s="2"/>
      <c r="AX55" s="2"/>
      <c r="AY55" s="22"/>
      <c r="AZ55" s="23"/>
      <c r="BA55" s="23"/>
      <c r="BB55" s="23"/>
      <c r="BC55" s="23"/>
      <c r="BD55" s="60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62"/>
      <c r="BS55" s="62">
        <f>AE46</f>
        <v>0</v>
      </c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59"/>
      <c r="DB55" s="59"/>
      <c r="DC55" s="59"/>
      <c r="DD55" s="59"/>
      <c r="DE55" s="59"/>
      <c r="DF55" s="59"/>
      <c r="DG55" s="62"/>
      <c r="DH55" s="62"/>
      <c r="DI55" s="59"/>
      <c r="DJ55" s="59"/>
      <c r="DK55" s="59"/>
      <c r="DL55" s="59"/>
      <c r="DM55" s="59"/>
      <c r="DN55" s="59"/>
      <c r="DO55" s="62"/>
      <c r="DP55" s="62"/>
      <c r="DQ55" s="59"/>
      <c r="DR55" s="59"/>
      <c r="DS55" s="59"/>
      <c r="DT55" s="59"/>
      <c r="DU55" s="59"/>
      <c r="DV55" s="59"/>
      <c r="DW55" s="62"/>
      <c r="DX55" s="62"/>
      <c r="DY55" s="59"/>
      <c r="DZ55" s="59"/>
      <c r="EA55" s="2"/>
      <c r="EB55" s="59"/>
      <c r="EC55" s="59"/>
      <c r="ED55" s="59"/>
      <c r="EE55" s="62">
        <f>SUM(DY55:ED55)</f>
        <v>0</v>
      </c>
      <c r="EF55" s="62"/>
      <c r="EG55" s="2"/>
      <c r="EH55" s="62"/>
      <c r="EI55" s="62"/>
      <c r="EJ55" s="62"/>
      <c r="EK55" s="62"/>
      <c r="EL55" s="62"/>
      <c r="EM55" s="62"/>
      <c r="EN55" s="62"/>
      <c r="EO55" s="2"/>
      <c r="EP55" s="2"/>
      <c r="EQ55" s="2"/>
      <c r="ER55" s="2"/>
      <c r="ES55" s="2"/>
      <c r="ET55" s="2"/>
      <c r="EU55" s="62"/>
      <c r="EV55" s="62"/>
      <c r="EW55" s="2"/>
      <c r="EX55" s="2"/>
      <c r="EY55" s="2"/>
      <c r="EZ55" s="2"/>
      <c r="FA55" s="2"/>
      <c r="FB55" s="2"/>
      <c r="FC55" s="62"/>
      <c r="FD55" s="62"/>
      <c r="FE55" s="62"/>
      <c r="FF55" s="62"/>
      <c r="FG55" s="62"/>
      <c r="FH55" s="62"/>
      <c r="FI55" s="62"/>
      <c r="FJ55" s="2"/>
      <c r="FK55" s="2"/>
      <c r="FL55" s="2"/>
      <c r="FM55" s="2"/>
    </row>
    <row r="56" spans="1:169" ht="27.95" customHeight="1" thickTop="1" x14ac:dyDescent="0.2">
      <c r="A56" s="877" t="s">
        <v>291</v>
      </c>
      <c r="B56" s="878"/>
      <c r="C56" s="868" t="str">
        <f>IF($AB51&lt;6,"",IF($X52=3,C38,IF($Y52=3,C39,IF($Z52=3,C40,IF($AA52=3,C41)))))</f>
        <v/>
      </c>
      <c r="D56" s="869"/>
      <c r="E56" s="804" t="str">
        <f>IF(C56="","",VLOOKUP(C56,liste!$A$9:$G$145,2,FALSE))</f>
        <v/>
      </c>
      <c r="F56" s="805"/>
      <c r="G56" s="805"/>
      <c r="H56" s="805"/>
      <c r="I56" s="806"/>
      <c r="J56" s="585" t="str">
        <f>IF(C56="","",VLOOKUP(C56,liste!$A$9:$G$145,4,FALSE))</f>
        <v/>
      </c>
      <c r="K56" s="804" t="str">
        <f>IF(C56="","",VLOOKUP(C56,liste!$A$9:$G$145,3,FALSE))</f>
        <v/>
      </c>
      <c r="L56" s="805"/>
      <c r="M56" s="805"/>
      <c r="N56" s="806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6"/>
      <c r="AU56" s="60"/>
      <c r="AV56" s="2"/>
      <c r="AW56" s="2"/>
      <c r="AX56" s="2"/>
      <c r="AY56" s="23"/>
      <c r="AZ56" s="23"/>
      <c r="BA56" s="23"/>
      <c r="BB56" s="23"/>
      <c r="BC56" s="23"/>
      <c r="BD56" s="60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59"/>
      <c r="DB56" s="59"/>
      <c r="DC56" s="59"/>
      <c r="DD56" s="59"/>
      <c r="DE56" s="59"/>
      <c r="DF56" s="59"/>
      <c r="DG56" s="62"/>
      <c r="DH56" s="62"/>
      <c r="DI56" s="59"/>
      <c r="DJ56" s="59"/>
      <c r="DK56" s="59"/>
      <c r="DL56" s="59"/>
      <c r="DM56" s="59"/>
      <c r="DN56" s="59"/>
      <c r="DO56" s="62"/>
      <c r="DP56" s="62"/>
      <c r="DQ56" s="59"/>
      <c r="DR56" s="59"/>
      <c r="DS56" s="59"/>
      <c r="DT56" s="59"/>
      <c r="DU56" s="59"/>
      <c r="DV56" s="59"/>
      <c r="DW56" s="62"/>
      <c r="DX56" s="62"/>
      <c r="DY56" s="59"/>
      <c r="DZ56" s="59"/>
      <c r="EA56" s="59"/>
      <c r="EB56" s="59"/>
      <c r="EC56" s="59"/>
      <c r="ED56" s="59"/>
      <c r="EE56" s="62">
        <f>SUM(DY56:ED56)</f>
        <v>0</v>
      </c>
      <c r="EF56" s="62"/>
      <c r="EG56" s="35"/>
      <c r="EH56" s="35"/>
      <c r="EI56" s="35"/>
      <c r="EJ56" s="35"/>
      <c r="EK56" s="35"/>
      <c r="EL56" s="35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2"/>
      <c r="FK56" s="2"/>
      <c r="FL56" s="2"/>
      <c r="FM56" s="2"/>
    </row>
    <row r="57" spans="1:169" ht="27.95" customHeight="1" thickBot="1" x14ac:dyDescent="0.25">
      <c r="A57" s="888" t="s">
        <v>292</v>
      </c>
      <c r="B57" s="889"/>
      <c r="C57" s="860" t="str">
        <f>IF($AB51&lt;6,"",IF($X52=4,C38,IF($Y52=4,C39,IF($Z52=4,C40,IF(AA52=4,C41)))))</f>
        <v/>
      </c>
      <c r="D57" s="861"/>
      <c r="E57" s="814" t="str">
        <f>IF(C57="","",VLOOKUP(C57,liste!$A$9:$G$145,2,FALSE))</f>
        <v/>
      </c>
      <c r="F57" s="815"/>
      <c r="G57" s="815"/>
      <c r="H57" s="815"/>
      <c r="I57" s="816"/>
      <c r="J57" s="586" t="str">
        <f>IF(C57="","",VLOOKUP(C57,liste!$A$9:$G$145,4,FALSE))</f>
        <v/>
      </c>
      <c r="K57" s="814" t="str">
        <f>IF(C57="","",VLOOKUP(C57,liste!$A$9:$G$145,3,FALSE))</f>
        <v/>
      </c>
      <c r="L57" s="815"/>
      <c r="M57" s="815"/>
      <c r="N57" s="81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U57" s="60"/>
      <c r="AV57" s="2"/>
      <c r="AW57" s="2"/>
      <c r="AX57" s="2"/>
      <c r="AY57" s="22"/>
      <c r="AZ57" s="23"/>
      <c r="BA57" s="23"/>
      <c r="BB57" s="23"/>
      <c r="BC57" s="23"/>
      <c r="BD57" s="60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35"/>
      <c r="CG57" s="35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 t="s">
        <v>5</v>
      </c>
      <c r="CT57" s="62" t="s">
        <v>5</v>
      </c>
      <c r="CU57" s="62"/>
      <c r="CV57" s="62"/>
      <c r="CW57" s="62" t="s">
        <v>5</v>
      </c>
      <c r="CX57" s="62" t="s">
        <v>5</v>
      </c>
      <c r="CY57" s="62"/>
      <c r="CZ57" s="62"/>
      <c r="DA57" s="59" t="s">
        <v>5</v>
      </c>
      <c r="DB57" s="59" t="s">
        <v>5</v>
      </c>
      <c r="DC57" s="59"/>
      <c r="DD57" s="59"/>
      <c r="DE57" s="59" t="s">
        <v>5</v>
      </c>
      <c r="DF57" s="59" t="s">
        <v>5</v>
      </c>
      <c r="DG57" s="62"/>
      <c r="DH57" s="62"/>
      <c r="DI57" s="59" t="s">
        <v>5</v>
      </c>
      <c r="DJ57" s="59" t="s">
        <v>5</v>
      </c>
      <c r="DK57" s="59"/>
      <c r="DL57" s="59"/>
      <c r="DM57" s="59" t="s">
        <v>5</v>
      </c>
      <c r="DN57" s="59" t="s">
        <v>5</v>
      </c>
      <c r="DO57" s="62"/>
      <c r="DP57" s="62"/>
      <c r="DQ57" s="59" t="s">
        <v>5</v>
      </c>
      <c r="DR57" s="59" t="s">
        <v>5</v>
      </c>
      <c r="DS57" s="59"/>
      <c r="DT57" s="59"/>
      <c r="DU57" s="59" t="s">
        <v>5</v>
      </c>
      <c r="DV57" s="59" t="s">
        <v>5</v>
      </c>
      <c r="DW57" s="62"/>
      <c r="DX57" s="62"/>
      <c r="DY57" s="59" t="s">
        <v>5</v>
      </c>
      <c r="DZ57" s="59" t="s">
        <v>71</v>
      </c>
      <c r="EA57" s="59" t="s">
        <v>5</v>
      </c>
      <c r="EB57" s="59"/>
      <c r="EC57" s="59"/>
      <c r="ED57" s="59" t="s">
        <v>5</v>
      </c>
      <c r="EE57" s="62">
        <f>SUM(DY57:ED57)</f>
        <v>0</v>
      </c>
      <c r="EF57" s="62"/>
      <c r="EG57" s="62"/>
      <c r="EH57" s="62"/>
      <c r="EI57" s="62"/>
      <c r="EJ57" s="62"/>
      <c r="EK57" s="62"/>
      <c r="EL57" s="62"/>
      <c r="EM57" s="62"/>
      <c r="EN57" s="62"/>
      <c r="EO57" s="62" t="s">
        <v>5</v>
      </c>
      <c r="EP57" s="62" t="s">
        <v>71</v>
      </c>
      <c r="EQ57" s="62" t="s">
        <v>5</v>
      </c>
      <c r="ER57" s="62"/>
      <c r="ES57" s="62"/>
      <c r="ET57" s="62" t="s">
        <v>5</v>
      </c>
      <c r="EU57" s="62"/>
      <c r="EV57" s="62"/>
      <c r="EW57" s="62" t="s">
        <v>5</v>
      </c>
      <c r="EX57" s="62" t="s">
        <v>5</v>
      </c>
      <c r="EY57" s="62"/>
      <c r="EZ57" s="62"/>
      <c r="FA57" s="62" t="s">
        <v>5</v>
      </c>
      <c r="FB57" s="62" t="s">
        <v>5</v>
      </c>
      <c r="FC57" s="62"/>
      <c r="FD57" s="62"/>
      <c r="FE57" s="62"/>
      <c r="FF57" s="62"/>
      <c r="FG57" s="62"/>
      <c r="FH57" s="62"/>
      <c r="FI57" s="62"/>
      <c r="FJ57" s="2"/>
      <c r="FK57" s="2"/>
      <c r="FL57" s="2"/>
      <c r="FM57" s="2"/>
    </row>
  </sheetData>
  <sheetProtection sheet="1" selectLockedCells="1"/>
  <mergeCells count="148">
    <mergeCell ref="A1:AA2"/>
    <mergeCell ref="P25:R25"/>
    <mergeCell ref="A30:AA31"/>
    <mergeCell ref="P54:R54"/>
    <mergeCell ref="F4:J4"/>
    <mergeCell ref="F33:J33"/>
    <mergeCell ref="X6:Z6"/>
    <mergeCell ref="X35:Z35"/>
    <mergeCell ref="P55:U55"/>
    <mergeCell ref="A28:B28"/>
    <mergeCell ref="C28:D28"/>
    <mergeCell ref="A27:B27"/>
    <mergeCell ref="C27:D27"/>
    <mergeCell ref="Q41:Y41"/>
    <mergeCell ref="R43:V43"/>
    <mergeCell ref="A55:B55"/>
    <mergeCell ref="Z8:AA8"/>
    <mergeCell ref="Z9:AA9"/>
    <mergeCell ref="Z40:AA40"/>
    <mergeCell ref="Z39:AA39"/>
    <mergeCell ref="Z11:AA11"/>
    <mergeCell ref="Z37:AA37"/>
    <mergeCell ref="Z38:AA38"/>
    <mergeCell ref="Z12:AA12"/>
    <mergeCell ref="A57:B57"/>
    <mergeCell ref="A38:B38"/>
    <mergeCell ref="A25:B25"/>
    <mergeCell ref="C25:D25"/>
    <mergeCell ref="F9:H9"/>
    <mergeCell ref="C9:E9"/>
    <mergeCell ref="Q38:Y38"/>
    <mergeCell ref="T4:Y4"/>
    <mergeCell ref="F6:K6"/>
    <mergeCell ref="O9:P9"/>
    <mergeCell ref="I11:N11"/>
    <mergeCell ref="G17:K17"/>
    <mergeCell ref="G18:K18"/>
    <mergeCell ref="G19:K19"/>
    <mergeCell ref="C8:E8"/>
    <mergeCell ref="F8:H8"/>
    <mergeCell ref="I8:N8"/>
    <mergeCell ref="O8:P8"/>
    <mergeCell ref="Q8:Y8"/>
    <mergeCell ref="O40:P40"/>
    <mergeCell ref="Q10:Y10"/>
    <mergeCell ref="Q11:Y11"/>
    <mergeCell ref="O11:P11"/>
    <mergeCell ref="Q37:Y37"/>
    <mergeCell ref="A11:B11"/>
    <mergeCell ref="A12:B12"/>
    <mergeCell ref="O22:V22"/>
    <mergeCell ref="I12:N12"/>
    <mergeCell ref="A56:B56"/>
    <mergeCell ref="A39:B39"/>
    <mergeCell ref="A40:B40"/>
    <mergeCell ref="A41:B41"/>
    <mergeCell ref="A54:B54"/>
    <mergeCell ref="O38:P38"/>
    <mergeCell ref="O39:P39"/>
    <mergeCell ref="I38:N38"/>
    <mergeCell ref="F35:K35"/>
    <mergeCell ref="C37:E37"/>
    <mergeCell ref="F37:H37"/>
    <mergeCell ref="I37:N37"/>
    <mergeCell ref="O23:V23"/>
    <mergeCell ref="A26:B26"/>
    <mergeCell ref="C26:D26"/>
    <mergeCell ref="F12:H12"/>
    <mergeCell ref="C12:E12"/>
    <mergeCell ref="O51:V51"/>
    <mergeCell ref="I39:N39"/>
    <mergeCell ref="O41:P41"/>
    <mergeCell ref="C57:D57"/>
    <mergeCell ref="C38:E38"/>
    <mergeCell ref="F38:H38"/>
    <mergeCell ref="C39:E39"/>
    <mergeCell ref="C41:E41"/>
    <mergeCell ref="C40:E40"/>
    <mergeCell ref="C56:D56"/>
    <mergeCell ref="C55:D55"/>
    <mergeCell ref="F39:H39"/>
    <mergeCell ref="F40:H40"/>
    <mergeCell ref="C54:D54"/>
    <mergeCell ref="F41:H41"/>
    <mergeCell ref="AC48:AD48"/>
    <mergeCell ref="I9:N9"/>
    <mergeCell ref="I10:N10"/>
    <mergeCell ref="AC19:AD19"/>
    <mergeCell ref="Z10:AA10"/>
    <mergeCell ref="O10:P10"/>
    <mergeCell ref="Q9:Y9"/>
    <mergeCell ref="I40:N40"/>
    <mergeCell ref="X43:AA43"/>
    <mergeCell ref="Z41:AA41"/>
    <mergeCell ref="F11:H11"/>
    <mergeCell ref="O37:P37"/>
    <mergeCell ref="X14:AA14"/>
    <mergeCell ref="R14:V14"/>
    <mergeCell ref="O12:P12"/>
    <mergeCell ref="Q12:Y12"/>
    <mergeCell ref="T33:Y33"/>
    <mergeCell ref="K25:N25"/>
    <mergeCell ref="K26:N26"/>
    <mergeCell ref="G16:K16"/>
    <mergeCell ref="K55:N55"/>
    <mergeCell ref="K56:N56"/>
    <mergeCell ref="K57:N57"/>
    <mergeCell ref="E54:I54"/>
    <mergeCell ref="E55:I55"/>
    <mergeCell ref="E56:I56"/>
    <mergeCell ref="E57:I57"/>
    <mergeCell ref="G45:K45"/>
    <mergeCell ref="G46:K46"/>
    <mergeCell ref="G47:K47"/>
    <mergeCell ref="G48:K48"/>
    <mergeCell ref="G49:K49"/>
    <mergeCell ref="G50:K50"/>
    <mergeCell ref="M45:Q45"/>
    <mergeCell ref="M46:Q46"/>
    <mergeCell ref="M47:Q47"/>
    <mergeCell ref="M48:Q48"/>
    <mergeCell ref="M49:Q49"/>
    <mergeCell ref="M50:Q50"/>
    <mergeCell ref="O52:V52"/>
    <mergeCell ref="C11:E11"/>
    <mergeCell ref="C10:E10"/>
    <mergeCell ref="F10:H10"/>
    <mergeCell ref="A9:B9"/>
    <mergeCell ref="A10:B10"/>
    <mergeCell ref="K54:N54"/>
    <mergeCell ref="K27:N27"/>
    <mergeCell ref="K28:N28"/>
    <mergeCell ref="E25:I25"/>
    <mergeCell ref="E26:I26"/>
    <mergeCell ref="E27:I27"/>
    <mergeCell ref="E28:I28"/>
    <mergeCell ref="G20:K20"/>
    <mergeCell ref="G21:K21"/>
    <mergeCell ref="M16:Q16"/>
    <mergeCell ref="M17:Q17"/>
    <mergeCell ref="M18:Q18"/>
    <mergeCell ref="M19:Q19"/>
    <mergeCell ref="M20:Q20"/>
    <mergeCell ref="M21:Q21"/>
    <mergeCell ref="P26:U26"/>
    <mergeCell ref="I41:N41"/>
    <mergeCell ref="Q39:Y39"/>
    <mergeCell ref="Q40:Y40"/>
  </mergeCells>
  <phoneticPr fontId="0" type="noConversion"/>
  <conditionalFormatting sqref="D34:Z34 D33:F33 K33:Z33 D35:T35">
    <cfRule type="cellIs" dxfId="30" priority="3" stopIfTrue="1" operator="equal">
      <formula>0</formula>
    </cfRule>
  </conditionalFormatting>
  <conditionalFormatting sqref="A16:Q21 W16:AA21 A45:Q50 W45:AA50 S25 V25:AA26 U27:AA27 S54:AA54 O57:AA57 U56:AA56 P55:AA55 A3:AA3 A1 A32:AA32 A29:AA29 A30 A36:AA44 A33:C35 A5:AA5 A4:F4 K4:AA4 A7:AA15 AA6 A51:AA52 O53:AA53 O54:O55 A54:N57 A22:AA23 O24:AA24 O25:P25 O26:U26 A25:N28 O28:AA28 AA33:AA35 A6:X6">
    <cfRule type="cellIs" dxfId="29" priority="7" stopIfTrue="1" operator="equal">
      <formula>0</formula>
    </cfRule>
  </conditionalFormatting>
  <conditionalFormatting sqref="P54">
    <cfRule type="cellIs" dxfId="28" priority="6" stopIfTrue="1" operator="equal">
      <formula>0</formula>
    </cfRule>
  </conditionalFormatting>
  <conditionalFormatting sqref="E17:E21">
    <cfRule type="expression" dxfId="27" priority="5">
      <formula>$E$16=0</formula>
    </cfRule>
  </conditionalFormatting>
  <conditionalFormatting sqref="E46:E50">
    <cfRule type="expression" dxfId="26" priority="4">
      <formula>$E$45=0</formula>
    </cfRule>
  </conditionalFormatting>
  <conditionalFormatting sqref="U35:X35">
    <cfRule type="cellIs" dxfId="25" priority="1" stopIfTrue="1" operator="equal">
      <formula>0</formula>
    </cfRule>
  </conditionalFormatting>
  <printOptions horizontalCentered="1" verticalCentered="1"/>
  <pageMargins left="0.11811023622047245" right="0.15748031496062992" top="0.11811023622047245" bottom="0.59055118110236227" header="0.15748031496062992" footer="0.48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92D050"/>
    <pageSetUpPr fitToPage="1"/>
  </sheetPr>
  <dimension ref="A1:FM60"/>
  <sheetViews>
    <sheetView showGridLines="0" view="pageBreakPreview" topLeftCell="A7" zoomScale="60" zoomScaleNormal="65" workbookViewId="0">
      <selection activeCell="C40" sqref="C40:E40"/>
    </sheetView>
  </sheetViews>
  <sheetFormatPr baseColWidth="10" defaultColWidth="11.42578125" defaultRowHeight="12.75" x14ac:dyDescent="0.2"/>
  <cols>
    <col min="1" max="3" width="2.7109375" style="599" customWidth="1"/>
    <col min="4" max="4" width="4.7109375" style="599" customWidth="1"/>
    <col min="5" max="5" width="9.85546875" style="599" customWidth="1"/>
    <col min="6" max="6" width="6.7109375" style="599" customWidth="1"/>
    <col min="7" max="7" width="3.7109375" style="599" customWidth="1"/>
    <col min="8" max="11" width="7.7109375" style="599" customWidth="1"/>
    <col min="12" max="12" width="11.42578125" style="599"/>
    <col min="13" max="16" width="7.7109375" style="599" customWidth="1"/>
    <col min="17" max="17" width="3.7109375" style="599" customWidth="1"/>
    <col min="18" max="22" width="7.85546875" style="599" customWidth="1"/>
    <col min="23" max="23" width="1.7109375" style="599" customWidth="1"/>
    <col min="24" max="27" width="6.85546875" style="599" customWidth="1"/>
    <col min="28" max="28" width="11.42578125" style="599"/>
    <col min="29" max="31" width="11.42578125" style="235"/>
    <col min="32" max="47" width="5.7109375" style="235" customWidth="1"/>
    <col min="48" max="48" width="7.42578125" style="235" customWidth="1"/>
    <col min="49" max="59" width="5.7109375" style="235" customWidth="1"/>
    <col min="60" max="60" width="20.42578125" style="235" customWidth="1"/>
    <col min="61" max="61" width="5.7109375" style="235" customWidth="1"/>
    <col min="62" max="62" width="7.28515625" style="235" customWidth="1"/>
    <col min="63" max="65" width="5.7109375" style="235" customWidth="1"/>
    <col min="66" max="66" width="12.140625" style="235" customWidth="1"/>
    <col min="67" max="67" width="7.28515625" style="235" customWidth="1"/>
    <col min="68" max="165" width="5.7109375" style="235" customWidth="1"/>
    <col min="166" max="169" width="11.42578125" style="235"/>
    <col min="170" max="16384" width="11.42578125" style="599"/>
  </cols>
  <sheetData>
    <row r="1" spans="1:169" ht="21.95" customHeight="1" x14ac:dyDescent="0.2">
      <c r="A1" s="891" t="str">
        <f>liste!$A$4</f>
        <v>Circuit décathlon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</row>
    <row r="2" spans="1:169" ht="21.95" customHeight="1" x14ac:dyDescent="0.2">
      <c r="A2" s="891"/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</row>
    <row r="3" spans="1:169" ht="21.95" customHeight="1" x14ac:dyDescent="0.2">
      <c r="A3" s="502"/>
      <c r="B3" s="503"/>
      <c r="C3" s="504"/>
      <c r="D3" s="504"/>
      <c r="E3" s="504"/>
      <c r="F3" s="504"/>
      <c r="G3" s="503"/>
      <c r="H3" s="505"/>
      <c r="I3" s="506"/>
      <c r="J3" s="506"/>
      <c r="K3" s="506"/>
      <c r="L3" s="507"/>
      <c r="M3" s="506"/>
      <c r="N3" s="506"/>
      <c r="O3" s="508"/>
      <c r="P3" s="508"/>
      <c r="Q3" s="508"/>
      <c r="R3" s="508"/>
      <c r="S3" s="508"/>
      <c r="T3" s="504"/>
      <c r="U3" s="505"/>
      <c r="V3" s="505"/>
      <c r="W3" s="504"/>
      <c r="X3" s="504"/>
      <c r="Y3" s="504"/>
      <c r="Z3" s="504"/>
      <c r="AA3" s="502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</row>
    <row r="4" spans="1:169" ht="21.95" customHeight="1" x14ac:dyDescent="0.2">
      <c r="A4" s="503"/>
      <c r="B4" s="503"/>
      <c r="C4" s="504"/>
      <c r="D4" s="503"/>
      <c r="E4" s="509" t="s">
        <v>6</v>
      </c>
      <c r="F4" s="894" t="str">
        <f>liste!$A$5</f>
        <v>Champagné</v>
      </c>
      <c r="G4" s="894"/>
      <c r="H4" s="894"/>
      <c r="I4" s="894"/>
      <c r="J4" s="894"/>
      <c r="K4" s="506"/>
      <c r="L4" s="506"/>
      <c r="M4" s="506"/>
      <c r="N4" s="508"/>
      <c r="O4" s="508"/>
      <c r="P4" s="508"/>
      <c r="Q4" s="508"/>
      <c r="R4" s="508"/>
      <c r="S4" s="509" t="s">
        <v>7</v>
      </c>
      <c r="T4" s="846">
        <f>liste!$A$7</f>
        <v>43421</v>
      </c>
      <c r="U4" s="846"/>
      <c r="V4" s="846"/>
      <c r="W4" s="846"/>
      <c r="X4" s="846"/>
      <c r="Y4" s="846"/>
      <c r="Z4" s="510"/>
      <c r="AA4" s="50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</row>
    <row r="5" spans="1:169" ht="21.95" customHeight="1" x14ac:dyDescent="0.2">
      <c r="A5" s="503"/>
      <c r="B5" s="503"/>
      <c r="C5" s="503"/>
      <c r="D5" s="503"/>
      <c r="E5" s="503"/>
      <c r="F5" s="503"/>
      <c r="G5" s="506"/>
      <c r="H5" s="506"/>
      <c r="I5" s="506"/>
      <c r="J5" s="506"/>
      <c r="K5" s="506"/>
      <c r="L5" s="506"/>
      <c r="M5" s="506"/>
      <c r="N5" s="508"/>
      <c r="O5" s="508"/>
      <c r="P5" s="508"/>
      <c r="Q5" s="508"/>
      <c r="R5" s="508"/>
      <c r="S5" s="508"/>
      <c r="T5" s="508"/>
      <c r="U5" s="508"/>
      <c r="V5" s="506"/>
      <c r="W5" s="504"/>
      <c r="X5" s="504"/>
      <c r="Y5" s="504"/>
      <c r="Z5" s="506"/>
      <c r="AA5" s="50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</row>
    <row r="6" spans="1:169" ht="21.95" customHeight="1" x14ac:dyDescent="0.2">
      <c r="A6" s="502"/>
      <c r="B6" s="503"/>
      <c r="C6" s="503"/>
      <c r="D6" s="503"/>
      <c r="E6" s="509" t="s">
        <v>11</v>
      </c>
      <c r="F6" s="885" t="str">
        <f>liste!$A$6</f>
        <v>Minimes</v>
      </c>
      <c r="G6" s="885"/>
      <c r="H6" s="885"/>
      <c r="I6" s="885"/>
      <c r="J6" s="885"/>
      <c r="K6" s="885"/>
      <c r="L6" s="511" t="s">
        <v>2</v>
      </c>
      <c r="M6" s="512" t="s">
        <v>36</v>
      </c>
      <c r="N6" s="504"/>
      <c r="O6" s="513" t="s">
        <v>287</v>
      </c>
      <c r="P6" s="503"/>
      <c r="Q6" s="512">
        <f>Rens!C9</f>
        <v>0</v>
      </c>
      <c r="R6" s="503"/>
      <c r="S6" s="503"/>
      <c r="T6" s="508"/>
      <c r="U6" s="513"/>
      <c r="V6" s="514" t="s">
        <v>171</v>
      </c>
      <c r="W6" s="504"/>
      <c r="X6" s="895" t="str">
        <f>Rens!$E$1</f>
        <v>2018/2019</v>
      </c>
      <c r="Y6" s="895"/>
      <c r="Z6" s="895"/>
      <c r="AA6" s="511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</row>
    <row r="7" spans="1:169" ht="21.95" customHeight="1" thickBot="1" x14ac:dyDescent="0.25">
      <c r="A7" s="503"/>
      <c r="B7" s="503"/>
      <c r="C7" s="503"/>
      <c r="D7" s="503"/>
      <c r="E7" s="503"/>
      <c r="F7" s="503"/>
      <c r="G7" s="503"/>
      <c r="H7" s="506"/>
      <c r="I7" s="506"/>
      <c r="J7" s="506"/>
      <c r="K7" s="506"/>
      <c r="L7" s="506"/>
      <c r="M7" s="506"/>
      <c r="N7" s="506"/>
      <c r="O7" s="508"/>
      <c r="P7" s="508"/>
      <c r="Q7" s="508"/>
      <c r="R7" s="508"/>
      <c r="S7" s="508"/>
      <c r="T7" s="508"/>
      <c r="U7" s="508"/>
      <c r="V7" s="508"/>
      <c r="W7" s="508"/>
      <c r="X7" s="506"/>
      <c r="Y7" s="506"/>
      <c r="Z7" s="506"/>
      <c r="AA7" s="506"/>
      <c r="AC7" s="236"/>
      <c r="AD7" s="236"/>
      <c r="AE7" s="237" t="s">
        <v>58</v>
      </c>
      <c r="AF7" s="238"/>
      <c r="AG7" s="238"/>
      <c r="AH7" s="238"/>
      <c r="AI7" s="239" t="s">
        <v>22</v>
      </c>
      <c r="AJ7" s="237" t="s">
        <v>5</v>
      </c>
      <c r="AK7" s="238"/>
      <c r="AL7" s="237" t="s">
        <v>23</v>
      </c>
      <c r="AM7" s="238"/>
      <c r="AN7" s="238"/>
      <c r="AO7" s="238"/>
      <c r="AP7" s="238"/>
      <c r="AQ7" s="238" t="str">
        <f>IF(AI7&lt;&gt;" ",AI7," ")</f>
        <v>IG1</v>
      </c>
      <c r="AR7" s="238"/>
      <c r="AS7" s="240"/>
      <c r="AT7" s="241"/>
      <c r="AU7" s="241"/>
      <c r="AV7" s="241"/>
      <c r="AW7" s="241"/>
      <c r="AX7" s="241"/>
      <c r="AY7" s="241" t="s">
        <v>5</v>
      </c>
      <c r="AZ7" s="241"/>
      <c r="BA7" s="241" t="s">
        <v>24</v>
      </c>
      <c r="BB7" s="241"/>
      <c r="BC7" s="241"/>
      <c r="BD7" s="241"/>
      <c r="BE7" s="241"/>
      <c r="BF7" s="241"/>
      <c r="BG7" s="241"/>
      <c r="BH7" s="242" t="s">
        <v>10</v>
      </c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36"/>
      <c r="FK7" s="236"/>
      <c r="FL7" s="236"/>
      <c r="FM7" s="236"/>
    </row>
    <row r="8" spans="1:169" ht="24.95" customHeight="1" thickBot="1" x14ac:dyDescent="0.25">
      <c r="A8" s="511"/>
      <c r="B8" s="511"/>
      <c r="C8" s="836" t="s">
        <v>8</v>
      </c>
      <c r="D8" s="838"/>
      <c r="E8" s="837"/>
      <c r="F8" s="836" t="s">
        <v>16</v>
      </c>
      <c r="G8" s="838"/>
      <c r="H8" s="837"/>
      <c r="I8" s="836" t="s">
        <v>20</v>
      </c>
      <c r="J8" s="838"/>
      <c r="K8" s="838"/>
      <c r="L8" s="838"/>
      <c r="M8" s="838"/>
      <c r="N8" s="837"/>
      <c r="O8" s="836" t="s">
        <v>4</v>
      </c>
      <c r="P8" s="837"/>
      <c r="Q8" s="836" t="s">
        <v>12</v>
      </c>
      <c r="R8" s="838"/>
      <c r="S8" s="838"/>
      <c r="T8" s="838"/>
      <c r="U8" s="838"/>
      <c r="V8" s="838"/>
      <c r="W8" s="838"/>
      <c r="X8" s="838"/>
      <c r="Y8" s="837"/>
      <c r="Z8" s="836" t="s">
        <v>286</v>
      </c>
      <c r="AA8" s="837"/>
      <c r="AC8" s="236"/>
      <c r="AD8" s="236"/>
      <c r="AE8" s="237" t="s">
        <v>5</v>
      </c>
      <c r="AF8" s="237"/>
      <c r="AG8" s="239" t="s">
        <v>14</v>
      </c>
      <c r="AH8" s="237"/>
      <c r="AI8" s="237"/>
      <c r="AJ8" s="237"/>
      <c r="AK8" s="237"/>
      <c r="AL8" s="237" t="s">
        <v>5</v>
      </c>
      <c r="AM8" s="237"/>
      <c r="AN8" s="238"/>
      <c r="AO8" s="238"/>
      <c r="AP8" s="238"/>
      <c r="AQ8" s="238"/>
      <c r="AR8" s="238"/>
      <c r="AS8" s="240"/>
      <c r="AT8" s="241"/>
      <c r="AU8" s="241"/>
      <c r="AV8" s="241"/>
      <c r="AW8" s="241"/>
      <c r="AX8" s="241"/>
      <c r="AY8" s="241" t="s">
        <v>10</v>
      </c>
      <c r="AZ8" s="241"/>
      <c r="BA8" s="241" t="s">
        <v>25</v>
      </c>
      <c r="BB8" s="242" t="s">
        <v>26</v>
      </c>
      <c r="BC8" s="242" t="s">
        <v>27</v>
      </c>
      <c r="BD8" s="242" t="s">
        <v>28</v>
      </c>
      <c r="BE8" s="242" t="s">
        <v>29</v>
      </c>
      <c r="BF8" s="241" t="s">
        <v>30</v>
      </c>
      <c r="BG8" s="241"/>
      <c r="BH8" s="242" t="s">
        <v>31</v>
      </c>
      <c r="BI8" s="241"/>
      <c r="BJ8" s="241"/>
      <c r="BK8" s="241" t="s">
        <v>32</v>
      </c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36"/>
      <c r="FK8" s="236"/>
      <c r="FL8" s="236"/>
      <c r="FM8" s="236"/>
    </row>
    <row r="9" spans="1:169" ht="27.95" customHeight="1" x14ac:dyDescent="0.2">
      <c r="A9" s="807">
        <v>1</v>
      </c>
      <c r="B9" s="808"/>
      <c r="C9" s="862">
        <f>liste!A11</f>
        <v>3</v>
      </c>
      <c r="D9" s="863"/>
      <c r="E9" s="864"/>
      <c r="F9" s="811">
        <f>IF(C9="","",VLOOKUP(C9,liste!$A$9:$G$145,7,FALSE))</f>
        <v>7223284</v>
      </c>
      <c r="G9" s="812" t="e">
        <f>IF(F9="","",VLOOKUP(F9,liste!$A$9:$G$145,7,FALSE))</f>
        <v>#N/A</v>
      </c>
      <c r="H9" s="813" t="e">
        <f>IF(G9="","",VLOOKUP(G9,liste!$A$9:$G$145,7,FALSE))</f>
        <v>#N/A</v>
      </c>
      <c r="I9" s="849" t="str">
        <f>IF(C9="","",VLOOKUP(C9,liste!$A$9:$G$145,2,FALSE))</f>
        <v>PORTEBOEUF Louis</v>
      </c>
      <c r="J9" s="850"/>
      <c r="K9" s="850"/>
      <c r="L9" s="850"/>
      <c r="M9" s="850"/>
      <c r="N9" s="851"/>
      <c r="O9" s="883">
        <f>IF(C9="","",VLOOKUP(C9,liste!$A$9:$G$145,4,FALSE))</f>
        <v>5</v>
      </c>
      <c r="P9" s="884" t="str">
        <f>IF(J9="","",VLOOKUP(J9,liste!$A$9:$G$145,4,FALSE))</f>
        <v/>
      </c>
      <c r="Q9" s="857" t="str">
        <f>IF(C9="","",VLOOKUP(C9,liste!$A$9:$G$145,3,FALSE))</f>
        <v>LAIGNE ST GERVAIS CO</v>
      </c>
      <c r="R9" s="858"/>
      <c r="S9" s="858"/>
      <c r="T9" s="858"/>
      <c r="U9" s="858"/>
      <c r="V9" s="858"/>
      <c r="W9" s="858"/>
      <c r="X9" s="858"/>
      <c r="Y9" s="859"/>
      <c r="Z9" s="857">
        <f>IF(C9="","",VLOOKUP(C9,liste!$A$9:$G$145,6,FALSE))</f>
        <v>500</v>
      </c>
      <c r="AA9" s="859" t="str">
        <f>IF(U9="","",VLOOKUP(U9,liste!$A$9:$G$145,4,FALSE))</f>
        <v/>
      </c>
      <c r="AB9" s="600" t="str">
        <f>"C"&amp;X23&amp;C9</f>
        <v>C3</v>
      </c>
      <c r="AC9" s="236"/>
      <c r="AD9" s="236"/>
      <c r="AE9" s="237" t="s">
        <v>33</v>
      </c>
      <c r="AF9" s="239">
        <v>1</v>
      </c>
      <c r="AG9" s="243">
        <f>C9</f>
        <v>3</v>
      </c>
      <c r="AH9" s="237" t="s">
        <v>5</v>
      </c>
      <c r="AI9" s="237" t="s">
        <v>5</v>
      </c>
      <c r="AJ9" s="237"/>
      <c r="AK9" s="237"/>
      <c r="AL9" s="237" t="s">
        <v>34</v>
      </c>
      <c r="AM9" s="237" t="e">
        <f>IF($BK$9=1,$AF$9,IF($BK$10=1,$AF$10,IF($BK$11=1,$AF$11,IF($BK$12=1,$AF$12,""))))</f>
        <v>#VALUE!</v>
      </c>
      <c r="AN9" s="238"/>
      <c r="AO9" s="244" t="e">
        <f>VLOOKUP(AM9,AF9:AG12,2)</f>
        <v>#VALUE!</v>
      </c>
      <c r="AP9" s="238"/>
      <c r="AQ9" s="238"/>
      <c r="AR9" s="238"/>
      <c r="AS9" s="240" t="s">
        <v>5</v>
      </c>
      <c r="AT9" s="241"/>
      <c r="AU9" s="241"/>
      <c r="AV9" s="245" t="e">
        <f>BH9</f>
        <v>#VALUE!</v>
      </c>
      <c r="AW9" s="241"/>
      <c r="AX9" s="241" t="s">
        <v>33</v>
      </c>
      <c r="AY9" s="241" t="e">
        <f>CF18</f>
        <v>#VALUE!</v>
      </c>
      <c r="AZ9" s="241"/>
      <c r="BA9" s="242" t="e">
        <f>IF(DE18&gt;0,CX18/DE18,IF(CX18&gt;0,CX18/1,0))</f>
        <v>#VALUE!</v>
      </c>
      <c r="BB9" s="242" t="e">
        <f>IF(DS18&gt;0,IF(BA9=0,0,DL18/DS18),IF(DL18&gt;0,DL18/1,0))</f>
        <v>#VALUE!</v>
      </c>
      <c r="BC9" s="241" t="e">
        <f>IF(BA9&lt;&gt;0,IF(EG18&gt;0,DZ18/EG18,0),0)</f>
        <v>#VALUE!</v>
      </c>
      <c r="BD9" s="241" t="s">
        <v>5</v>
      </c>
      <c r="BE9" s="242" t="e">
        <f>IF(EU18&gt;0,IF(BC9=0,0,EN18/EU18),IF(EN18&gt;0,EN18/1,0))</f>
        <v>#VALUE!</v>
      </c>
      <c r="BF9" s="242" t="e">
        <f>IF(BE9&lt;&gt;0,IF(FI18&gt;0,FB18/FI18,0),0)</f>
        <v>#VALUE!</v>
      </c>
      <c r="BG9" s="242" t="s">
        <v>33</v>
      </c>
      <c r="BH9" s="246" t="e">
        <f>AY9+BA9*0.01+BB9*0.0001+BC9*0.000001+BE9*0.00000001+BF9*0.0000000001</f>
        <v>#VALUE!</v>
      </c>
      <c r="BI9" s="241"/>
      <c r="BJ9" s="241"/>
      <c r="BK9" s="242" t="e">
        <f>RANK(BH9,BH9:BH15,)</f>
        <v>#VALUE!</v>
      </c>
      <c r="BL9" s="242"/>
      <c r="BM9" s="242"/>
      <c r="BN9" s="242"/>
      <c r="BO9" s="242" t="e">
        <f>IF(BH9=MIN(BH9:BH14),4,IF(BH9=MAX(BH9:BH14),1,0))</f>
        <v>#VALUE!</v>
      </c>
      <c r="BP9" s="242" t="e">
        <f>IF(BO9=0,BH9,0)</f>
        <v>#VALUE!</v>
      </c>
      <c r="BQ9" s="242" t="e">
        <f>IF(BP9&lt;&gt;0,IF(BP9=MAX(BP9:BP14),2,IF(BP9=MIN(BP9:BP14),3,0)),0)</f>
        <v>#VALUE!</v>
      </c>
      <c r="BR9" s="242" t="e">
        <f>IF(AND(BO9=0,BQ9=0),3,0)</f>
        <v>#VALUE!</v>
      </c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36"/>
      <c r="FK9" s="236"/>
      <c r="FL9" s="236"/>
      <c r="FM9" s="236"/>
    </row>
    <row r="10" spans="1:169" ht="27.95" customHeight="1" x14ac:dyDescent="0.2">
      <c r="A10" s="809">
        <v>2</v>
      </c>
      <c r="B10" s="810"/>
      <c r="C10" s="801">
        <v>14</v>
      </c>
      <c r="D10" s="802"/>
      <c r="E10" s="803"/>
      <c r="F10" s="804">
        <f>IF(C10="","",VLOOKUP(C10,liste!$A$9:$G$145,7,FALSE))</f>
        <v>7223235</v>
      </c>
      <c r="G10" s="805" t="e">
        <f>IF(F10="","",VLOOKUP(F10,liste!$A$9:$G$145,7,FALSE))</f>
        <v>#N/A</v>
      </c>
      <c r="H10" s="806" t="e">
        <f>IF(G10="","",VLOOKUP(G10,liste!$A$9:$G$145,7,FALSE))</f>
        <v>#N/A</v>
      </c>
      <c r="I10" s="852" t="str">
        <f>IF(C10="","",VLOOKUP(C10,liste!$A$9:$G$145,2,FALSE))</f>
        <v>TARROUX Chloe</v>
      </c>
      <c r="J10" s="853"/>
      <c r="K10" s="853"/>
      <c r="L10" s="853"/>
      <c r="M10" s="853"/>
      <c r="N10" s="854"/>
      <c r="O10" s="855">
        <f>IF(C10="","",VLOOKUP(C10,liste!$A$9:$G$145,4,FALSE))</f>
        <v>5</v>
      </c>
      <c r="P10" s="856" t="str">
        <f>IF(J10="","",VLOOKUP(J10,liste!$A$9:$G$145,4,FALSE))</f>
        <v/>
      </c>
      <c r="Q10" s="829" t="str">
        <f>IF(C10="","",VLOOKUP(C10,liste!$A$9:$G$145,3,FALSE))</f>
        <v>MONTFORT TT</v>
      </c>
      <c r="R10" s="830"/>
      <c r="S10" s="830"/>
      <c r="T10" s="830"/>
      <c r="U10" s="830"/>
      <c r="V10" s="830"/>
      <c r="W10" s="830"/>
      <c r="X10" s="830"/>
      <c r="Y10" s="831"/>
      <c r="Z10" s="829">
        <f>IF(C10="","",VLOOKUP(C10,liste!$A$9:$G$145,6,FALSE))</f>
        <v>500</v>
      </c>
      <c r="AA10" s="831" t="str">
        <f>IF(U10="","",VLOOKUP(U10,liste!$A$9:$G$145,4,FALSE))</f>
        <v/>
      </c>
      <c r="AB10" s="600" t="str">
        <f>"C"&amp;Y23&amp;C10</f>
        <v>C14</v>
      </c>
      <c r="AC10" s="236"/>
      <c r="AD10" s="236"/>
      <c r="AE10" s="237" t="s">
        <v>35</v>
      </c>
      <c r="AF10" s="239">
        <v>2</v>
      </c>
      <c r="AG10" s="243">
        <f>C10</f>
        <v>14</v>
      </c>
      <c r="AH10" s="237" t="s">
        <v>5</v>
      </c>
      <c r="AI10" s="237" t="s">
        <v>5</v>
      </c>
      <c r="AJ10" s="237"/>
      <c r="AK10" s="237"/>
      <c r="AL10" s="237" t="s">
        <v>59</v>
      </c>
      <c r="AM10" s="237" t="e">
        <f>IF($BK$9=2,$AF$9,IF($BK$10=2,$AF$10,IF($BK$11=2,$AF$11,IF($BK$12=2,$AF$12,""))))</f>
        <v>#VALUE!</v>
      </c>
      <c r="AN10" s="238"/>
      <c r="AO10" s="244" t="e">
        <f>VLOOKUP(AM10,AF9:AG12,2)</f>
        <v>#VALUE!</v>
      </c>
      <c r="AP10" s="238"/>
      <c r="AQ10" s="238"/>
      <c r="AR10" s="238"/>
      <c r="AS10" s="240" t="s">
        <v>5</v>
      </c>
      <c r="AT10" s="241"/>
      <c r="AU10" s="241"/>
      <c r="AV10" s="245" t="e">
        <f>BH10</f>
        <v>#VALUE!</v>
      </c>
      <c r="AW10" s="241"/>
      <c r="AX10" s="241" t="s">
        <v>35</v>
      </c>
      <c r="AY10" s="241" t="e">
        <f>CF19</f>
        <v>#VALUE!</v>
      </c>
      <c r="AZ10" s="241"/>
      <c r="BA10" s="242" t="e">
        <f>IF(DE19&gt;0,CX19/DE19,IF(CX19&gt;0,CX19/1,0))</f>
        <v>#VALUE!</v>
      </c>
      <c r="BB10" s="242" t="e">
        <f>IF(DS19&gt;0,IF(BA10=0,0,DL19/DS19),IF(DL19&gt;0,DL19/1,0))</f>
        <v>#VALUE!</v>
      </c>
      <c r="BC10" s="241" t="e">
        <f>IF(BA10&lt;&gt;0,IF(EG19&gt;0,DZ19/EG19,0),0)</f>
        <v>#VALUE!</v>
      </c>
      <c r="BD10" s="241" t="s">
        <v>5</v>
      </c>
      <c r="BE10" s="242" t="e">
        <f>IF(EU19&gt;0,IF(BC10=0,0,EN19/EU19),IF(EN19&gt;0,EN19/1,0))</f>
        <v>#VALUE!</v>
      </c>
      <c r="BF10" s="242" t="e">
        <f>IF(BE10&lt;&gt;0,IF(FI19&gt;0,FB19/FI19,0),0)</f>
        <v>#VALUE!</v>
      </c>
      <c r="BG10" s="242" t="s">
        <v>35</v>
      </c>
      <c r="BH10" s="246" t="e">
        <f>AY10+BA10*0.01+BB10*0.0001+BC10*0.000001+BE10*0.00000001+BF10*0.0000000001</f>
        <v>#VALUE!</v>
      </c>
      <c r="BI10" s="241"/>
      <c r="BJ10" s="241"/>
      <c r="BK10" s="242" t="e">
        <f>RANK(BH10,BH9:BH15,)</f>
        <v>#VALUE!</v>
      </c>
      <c r="BL10" s="242"/>
      <c r="BM10" s="242"/>
      <c r="BN10" s="242"/>
      <c r="BO10" s="242" t="e">
        <f>IF(BH10=MIN(BH9:BH14),4,IF(BH10=MAX(BH9:BH14),1,0))</f>
        <v>#VALUE!</v>
      </c>
      <c r="BP10" s="242" t="e">
        <f>IF(BO10=0,BH10,0)</f>
        <v>#VALUE!</v>
      </c>
      <c r="BQ10" s="242" t="e">
        <f>IF(BP10&lt;&gt;0,IF(BP10=MAX(BP9:BP14),2,IF(BP10=MIN(BP9:BP14),3,0)),0)</f>
        <v>#VALUE!</v>
      </c>
      <c r="BR10" s="242" t="e">
        <f>IF(AND(BO10=0,BQ10=0),3,0)</f>
        <v>#VALUE!</v>
      </c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36"/>
      <c r="FK10" s="236"/>
      <c r="FL10" s="236"/>
      <c r="FM10" s="236"/>
    </row>
    <row r="11" spans="1:169" ht="27.95" customHeight="1" x14ac:dyDescent="0.2">
      <c r="A11" s="809">
        <v>3</v>
      </c>
      <c r="B11" s="810"/>
      <c r="C11" s="801">
        <f>liste!A27</f>
        <v>19</v>
      </c>
      <c r="D11" s="802"/>
      <c r="E11" s="803"/>
      <c r="F11" s="804">
        <f>IF(C11="","",VLOOKUP(C11,liste!$A$9:$G$145,7,FALSE))</f>
        <v>7223344</v>
      </c>
      <c r="G11" s="805" t="e">
        <f>IF(F11="","",VLOOKUP(F11,liste!$A$9:$G$145,7,FALSE))</f>
        <v>#N/A</v>
      </c>
      <c r="H11" s="806" t="e">
        <f>IF(G11="","",VLOOKUP(G11,liste!$A$9:$G$145,7,FALSE))</f>
        <v>#N/A</v>
      </c>
      <c r="I11" s="852" t="str">
        <f>IF(C11="","",VLOOKUP(C11,liste!$A$9:$G$145,2,FALSE))</f>
        <v xml:space="preserve">Maurice Loic </v>
      </c>
      <c r="J11" s="853"/>
      <c r="K11" s="853"/>
      <c r="L11" s="853"/>
      <c r="M11" s="853"/>
      <c r="N11" s="854"/>
      <c r="O11" s="855">
        <f>IF(C11="","",VLOOKUP(C11,liste!$A$9:$G$145,4,FALSE))</f>
        <v>5</v>
      </c>
      <c r="P11" s="856" t="str">
        <f>IF(J11="","",VLOOKUP(J11,liste!$A$9:$G$145,4,FALSE))</f>
        <v/>
      </c>
      <c r="Q11" s="829" t="str">
        <f>IF(C11="","",VLOOKUP(C11,liste!$A$9:$G$145,3,FALSE))</f>
        <v>Savigné</v>
      </c>
      <c r="R11" s="830"/>
      <c r="S11" s="830"/>
      <c r="T11" s="830"/>
      <c r="U11" s="830"/>
      <c r="V11" s="830"/>
      <c r="W11" s="830"/>
      <c r="X11" s="830"/>
      <c r="Y11" s="831"/>
      <c r="Z11" s="829">
        <f>IF(C11="","",VLOOKUP(C11,liste!$A$9:$G$145,6,FALSE))</f>
        <v>500</v>
      </c>
      <c r="AA11" s="831" t="str">
        <f>IF(U11="","",VLOOKUP(U11,liste!$A$9:$G$145,4,FALSE))</f>
        <v/>
      </c>
      <c r="AB11" s="600" t="str">
        <f>"C"&amp;Z23&amp;C11</f>
        <v>C19</v>
      </c>
      <c r="AC11" s="236"/>
      <c r="AD11" s="236"/>
      <c r="AE11" s="237" t="s">
        <v>36</v>
      </c>
      <c r="AF11" s="239">
        <v>3</v>
      </c>
      <c r="AG11" s="243">
        <f>C11</f>
        <v>19</v>
      </c>
      <c r="AH11" s="237" t="s">
        <v>5</v>
      </c>
      <c r="AI11" s="237" t="s">
        <v>5</v>
      </c>
      <c r="AJ11" s="237"/>
      <c r="AK11" s="237"/>
      <c r="AL11" s="237" t="s">
        <v>60</v>
      </c>
      <c r="AM11" s="237" t="e">
        <f>IF($BK$9=3,$AF$9,IF($BK$10=3,$AF$10,IF($BK$11=3,$AF$11,IF($BK$12=3,$AF$12,""))))</f>
        <v>#VALUE!</v>
      </c>
      <c r="AN11" s="238"/>
      <c r="AO11" s="244" t="e">
        <f>VLOOKUP(AM11,AF9:AG12,2)</f>
        <v>#VALUE!</v>
      </c>
      <c r="AP11" s="238"/>
      <c r="AQ11" s="238"/>
      <c r="AR11" s="238"/>
      <c r="AS11" s="240" t="s">
        <v>5</v>
      </c>
      <c r="AT11" s="241"/>
      <c r="AU11" s="241"/>
      <c r="AV11" s="245" t="e">
        <f>BH11</f>
        <v>#VALUE!</v>
      </c>
      <c r="AW11" s="241"/>
      <c r="AX11" s="241" t="s">
        <v>36</v>
      </c>
      <c r="AY11" s="241" t="e">
        <f>CF20</f>
        <v>#VALUE!</v>
      </c>
      <c r="AZ11" s="241"/>
      <c r="BA11" s="242" t="e">
        <f>IF(DE20&gt;0,CX20/DE20,IF(CX20&gt;0,CX20/1,0))</f>
        <v>#VALUE!</v>
      </c>
      <c r="BB11" s="242" t="e">
        <f>IF(DS20&gt;0,IF(BA11=0,0,DL20/DS20),IF(DL20&gt;0,DL20/1,0))</f>
        <v>#VALUE!</v>
      </c>
      <c r="BC11" s="241" t="e">
        <f>IF(BA11&lt;&gt;0,IF(EG20&gt;0,DZ20/EG20,0),0)</f>
        <v>#VALUE!</v>
      </c>
      <c r="BD11" s="241" t="s">
        <v>5</v>
      </c>
      <c r="BE11" s="242" t="e">
        <f>IF(EU20&gt;0,IF(BC11=0,0,EN20/EU20),IF(EN20&gt;0,EN20/1,0))</f>
        <v>#VALUE!</v>
      </c>
      <c r="BF11" s="242" t="e">
        <f>IF(BE11&lt;&gt;0,IF(FI20&gt;0,FB20/FI20,0),0)</f>
        <v>#VALUE!</v>
      </c>
      <c r="BG11" s="242" t="s">
        <v>36</v>
      </c>
      <c r="BH11" s="246" t="e">
        <f>AY11+BA11*0.01+BB11*0.0001+BC11*0.000001+BE11*0.00000001+BF11*0.0000000001</f>
        <v>#VALUE!</v>
      </c>
      <c r="BI11" s="241"/>
      <c r="BJ11" s="241"/>
      <c r="BK11" s="242" t="e">
        <f>RANK(BH11,BH9:BH15,)</f>
        <v>#VALUE!</v>
      </c>
      <c r="BL11" s="242"/>
      <c r="BM11" s="242"/>
      <c r="BN11" s="242"/>
      <c r="BO11" s="242" t="e">
        <f>IF(BH11=MIN(BH9:BH14),4,IF(BH11=MAX(BH9:BH14),1,0))</f>
        <v>#VALUE!</v>
      </c>
      <c r="BP11" s="242" t="e">
        <f>IF(BO11=0,BH11,0)</f>
        <v>#VALUE!</v>
      </c>
      <c r="BQ11" s="242" t="e">
        <f>IF(BP11&lt;&gt;0,IF(BP11=MAX(BP9:BP14),2,IF(BP11=MIN(BP9:BP14),3,0)),0)</f>
        <v>#VALUE!</v>
      </c>
      <c r="BR11" s="242" t="e">
        <f>IF(AND(BO11=0,BQ11=0),3,0)</f>
        <v>#VALUE!</v>
      </c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1"/>
      <c r="EW11" s="241"/>
      <c r="EX11" s="241"/>
      <c r="EY11" s="241"/>
      <c r="EZ11" s="241"/>
      <c r="FA11" s="241"/>
      <c r="FB11" s="241"/>
      <c r="FC11" s="241"/>
      <c r="FD11" s="241"/>
      <c r="FE11" s="241"/>
      <c r="FF11" s="241"/>
      <c r="FG11" s="241"/>
      <c r="FH11" s="241"/>
      <c r="FI11" s="241"/>
      <c r="FJ11" s="236"/>
      <c r="FK11" s="236"/>
      <c r="FL11" s="236"/>
      <c r="FM11" s="236"/>
    </row>
    <row r="12" spans="1:169" ht="27.95" customHeight="1" thickBot="1" x14ac:dyDescent="0.25">
      <c r="A12" s="872">
        <v>4</v>
      </c>
      <c r="B12" s="873"/>
      <c r="C12" s="865">
        <f>liste!A38</f>
        <v>30</v>
      </c>
      <c r="D12" s="866"/>
      <c r="E12" s="867"/>
      <c r="F12" s="814">
        <f>IF(C12="","",VLOOKUP(C12,liste!$A$9:$G$145,7,FALSE))</f>
        <v>0</v>
      </c>
      <c r="G12" s="815" t="e">
        <f>IF(F12="","",VLOOKUP(F12,liste!$A$9:$G$145,7,FALSE))</f>
        <v>#N/A</v>
      </c>
      <c r="H12" s="816" t="e">
        <f>IF(G12="","",VLOOKUP(G12,liste!$A$9:$G$145,7,FALSE))</f>
        <v>#N/A</v>
      </c>
      <c r="I12" s="826">
        <f>IF(C12="","",VLOOKUP(C12,liste!$A$9:$G$145,2,FALSE))</f>
        <v>0</v>
      </c>
      <c r="J12" s="827"/>
      <c r="K12" s="827"/>
      <c r="L12" s="827"/>
      <c r="M12" s="827"/>
      <c r="N12" s="828"/>
      <c r="O12" s="841">
        <f>IF(C12="","",VLOOKUP(C12,liste!$A$9:$G$145,4,FALSE))</f>
        <v>0</v>
      </c>
      <c r="P12" s="842" t="str">
        <f>IF(J12="","",VLOOKUP(J12,liste!$A$9:$G$145,4,FALSE))</f>
        <v/>
      </c>
      <c r="Q12" s="843">
        <f>IF(C12="","",VLOOKUP(C12,liste!$A$9:$G$145,3,FALSE))</f>
        <v>0</v>
      </c>
      <c r="R12" s="844"/>
      <c r="S12" s="844"/>
      <c r="T12" s="844"/>
      <c r="U12" s="844"/>
      <c r="V12" s="844"/>
      <c r="W12" s="844"/>
      <c r="X12" s="844"/>
      <c r="Y12" s="845"/>
      <c r="Z12" s="843">
        <f>IF(C12="","",VLOOKUP(C12,liste!$A$9:$G$145,6,FALSE))</f>
        <v>0</v>
      </c>
      <c r="AA12" s="845" t="str">
        <f>IF(U12="","",VLOOKUP(U12,liste!$A$9:$G$145,4,FALSE))</f>
        <v/>
      </c>
      <c r="AB12" s="600" t="str">
        <f>"C"&amp;AA23&amp;C12</f>
        <v>C30</v>
      </c>
      <c r="AC12" s="236"/>
      <c r="AD12" s="236"/>
      <c r="AE12" s="237" t="s">
        <v>61</v>
      </c>
      <c r="AF12" s="239">
        <v>4</v>
      </c>
      <c r="AG12" s="243">
        <f>C12</f>
        <v>30</v>
      </c>
      <c r="AH12" s="237" t="s">
        <v>5</v>
      </c>
      <c r="AI12" s="237" t="s">
        <v>5</v>
      </c>
      <c r="AJ12" s="237"/>
      <c r="AK12" s="237"/>
      <c r="AL12" s="237" t="s">
        <v>62</v>
      </c>
      <c r="AM12" s="237" t="e">
        <f>IF($BK$9=4,$AF$9,IF($BK$10=4,$AF$10,IF($BK$11=4,$AF$11,IF($BK$12=4,$AF$12,""))))</f>
        <v>#VALUE!</v>
      </c>
      <c r="AN12" s="238"/>
      <c r="AO12" s="244" t="e">
        <f>VLOOKUP(AM12,AF9:AG12,2)</f>
        <v>#VALUE!</v>
      </c>
      <c r="AP12" s="238"/>
      <c r="AQ12" s="238"/>
      <c r="AR12" s="238"/>
      <c r="AS12" s="240" t="s">
        <v>5</v>
      </c>
      <c r="AT12" s="247"/>
      <c r="AU12" s="241"/>
      <c r="AV12" s="245" t="e">
        <f>BH12</f>
        <v>#VALUE!</v>
      </c>
      <c r="AW12" s="241"/>
      <c r="AX12" s="241" t="s">
        <v>61</v>
      </c>
      <c r="AY12" s="241" t="e">
        <f>CF21</f>
        <v>#VALUE!</v>
      </c>
      <c r="AZ12" s="241"/>
      <c r="BA12" s="242" t="e">
        <f>IF(DE21&gt;0,CX21/DE21,IF(CX21&gt;0,CX21/1,0))</f>
        <v>#VALUE!</v>
      </c>
      <c r="BB12" s="242" t="e">
        <f>IF(DS21&gt;0,IF(BA12=0,0,DL21/DS21),IF(DL21&gt;0,DL21/1,0))</f>
        <v>#VALUE!</v>
      </c>
      <c r="BC12" s="241" t="e">
        <f>IF(BA12&lt;&gt;0,IF(EG21&gt;0,DZ21/EG21,0),0)</f>
        <v>#VALUE!</v>
      </c>
      <c r="BD12" s="241" t="s">
        <v>5</v>
      </c>
      <c r="BE12" s="242" t="e">
        <f>IF(EU21&gt;0,IF(BC12=0,0,EN21/EU21),IF(EN21&gt;0,EN21/1,0))</f>
        <v>#VALUE!</v>
      </c>
      <c r="BF12" s="241" t="e">
        <f>IF(BE12&lt;&gt;0,IF(FI21&gt;0,FB21/FI21,0),0)</f>
        <v>#VALUE!</v>
      </c>
      <c r="BG12" s="242" t="s">
        <v>61</v>
      </c>
      <c r="BH12" s="246" t="e">
        <f>AY12+BA12*0.01+BB12*0.0001+BC12*0.000001+BE12*0.00000001+BF12*0.0000000001</f>
        <v>#VALUE!</v>
      </c>
      <c r="BI12" s="241"/>
      <c r="BJ12" s="241"/>
      <c r="BK12" s="242" t="e">
        <f>RANK(BH12,BH9:BH15,)</f>
        <v>#VALUE!</v>
      </c>
      <c r="BL12" s="242"/>
      <c r="BM12" s="242"/>
      <c r="BN12" s="242"/>
      <c r="BO12" s="242" t="e">
        <f>IF(BH12=MIN(BH9:BH14),4,IF(BH12=MAX(BH9:BH14),1,0))</f>
        <v>#VALUE!</v>
      </c>
      <c r="BP12" s="242" t="e">
        <f>IF(BO12=0,BH12,0)</f>
        <v>#VALUE!</v>
      </c>
      <c r="BQ12" s="242" t="e">
        <f>IF(BP12&lt;&gt;0,IF(BP12=MAX(BP9:BP14),2,IF(BP12=MIN(BP9:BP14),3,0)),0)</f>
        <v>#VALUE!</v>
      </c>
      <c r="BR12" s="242" t="e">
        <f>IF(AND(BO12=0,BQ12=0),3,0)</f>
        <v>#VALUE!</v>
      </c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241"/>
      <c r="FE12" s="241"/>
      <c r="FF12" s="241"/>
      <c r="FG12" s="241"/>
      <c r="FH12" s="241"/>
      <c r="FI12" s="241"/>
      <c r="FJ12" s="236"/>
      <c r="FK12" s="236"/>
      <c r="FL12" s="236"/>
      <c r="FM12" s="236"/>
    </row>
    <row r="13" spans="1:169" ht="21.95" customHeight="1" thickBot="1" x14ac:dyDescent="0.25">
      <c r="A13" s="503"/>
      <c r="B13" s="503"/>
      <c r="C13" s="503"/>
      <c r="D13" s="503"/>
      <c r="E13" s="503"/>
      <c r="F13" s="503"/>
      <c r="G13" s="503"/>
      <c r="H13" s="506"/>
      <c r="I13" s="506"/>
      <c r="J13" s="506"/>
      <c r="K13" s="506"/>
      <c r="L13" s="506"/>
      <c r="M13" s="506"/>
      <c r="N13" s="506"/>
      <c r="O13" s="508"/>
      <c r="P13" s="508"/>
      <c r="Q13" s="508"/>
      <c r="R13" s="508"/>
      <c r="S13" s="508"/>
      <c r="T13" s="508"/>
      <c r="U13" s="508"/>
      <c r="V13" s="508"/>
      <c r="W13" s="508"/>
      <c r="X13" s="515"/>
      <c r="Y13" s="515"/>
      <c r="Z13" s="515"/>
      <c r="AA13" s="515"/>
      <c r="AC13" s="236"/>
      <c r="AD13" s="236"/>
      <c r="AE13" s="238"/>
      <c r="AF13" s="244"/>
      <c r="AG13" s="238"/>
      <c r="AH13" s="238"/>
      <c r="AI13" s="238"/>
      <c r="AJ13" s="238"/>
      <c r="AK13" s="238"/>
      <c r="AL13" s="238"/>
      <c r="AM13" s="238"/>
      <c r="AN13" s="238"/>
      <c r="AO13" s="244"/>
      <c r="AP13" s="238"/>
      <c r="AQ13" s="238"/>
      <c r="AR13" s="238"/>
      <c r="AS13" s="241"/>
      <c r="AT13" s="241"/>
      <c r="AU13" s="241"/>
      <c r="AV13" s="241"/>
      <c r="AW13" s="241"/>
      <c r="AX13" s="241"/>
      <c r="AY13" s="241"/>
      <c r="AZ13" s="241"/>
      <c r="BA13" s="242"/>
      <c r="BB13" s="242"/>
      <c r="BC13" s="241"/>
      <c r="BD13" s="241"/>
      <c r="BE13" s="242"/>
      <c r="BF13" s="241"/>
      <c r="BG13" s="242"/>
      <c r="BH13" s="246"/>
      <c r="BI13" s="241"/>
      <c r="BJ13" s="241"/>
      <c r="BK13" s="242"/>
      <c r="BL13" s="242"/>
      <c r="BM13" s="242"/>
      <c r="BN13" s="242"/>
      <c r="BO13" s="242"/>
      <c r="BP13" s="242"/>
      <c r="BQ13" s="242"/>
      <c r="BR13" s="242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241"/>
      <c r="EW13" s="241"/>
      <c r="EX13" s="241"/>
      <c r="EY13" s="241"/>
      <c r="EZ13" s="241"/>
      <c r="FA13" s="241"/>
      <c r="FB13" s="241"/>
      <c r="FC13" s="241"/>
      <c r="FD13" s="241"/>
      <c r="FE13" s="241"/>
      <c r="FF13" s="241"/>
      <c r="FG13" s="241"/>
      <c r="FH13" s="241"/>
      <c r="FI13" s="241"/>
      <c r="FJ13" s="236"/>
      <c r="FK13" s="236"/>
      <c r="FL13" s="236"/>
      <c r="FM13" s="236"/>
    </row>
    <row r="14" spans="1:169" ht="21.95" customHeight="1" thickBot="1" x14ac:dyDescent="0.25">
      <c r="A14" s="503"/>
      <c r="B14" s="503"/>
      <c r="C14" s="503"/>
      <c r="D14" s="503"/>
      <c r="E14" s="503"/>
      <c r="F14" s="503"/>
      <c r="G14" s="503"/>
      <c r="H14" s="506"/>
      <c r="I14" s="506"/>
      <c r="J14" s="506"/>
      <c r="K14" s="506"/>
      <c r="L14" s="506"/>
      <c r="M14" s="506"/>
      <c r="N14" s="506"/>
      <c r="O14" s="508"/>
      <c r="P14" s="508"/>
      <c r="Q14" s="508"/>
      <c r="R14" s="839" t="s">
        <v>19</v>
      </c>
      <c r="S14" s="840"/>
      <c r="T14" s="840"/>
      <c r="U14" s="840"/>
      <c r="V14" s="840"/>
      <c r="W14" s="516"/>
      <c r="X14" s="836" t="s">
        <v>10</v>
      </c>
      <c r="Y14" s="838"/>
      <c r="Z14" s="838"/>
      <c r="AA14" s="837"/>
      <c r="AC14" s="236"/>
      <c r="AD14" s="236"/>
      <c r="AE14" s="248"/>
      <c r="AF14" s="249"/>
      <c r="AG14" s="248"/>
      <c r="AH14" s="248"/>
      <c r="AI14" s="248"/>
      <c r="AJ14" s="248"/>
      <c r="AK14" s="248"/>
      <c r="AL14" s="248"/>
      <c r="AM14" s="248"/>
      <c r="AN14" s="248"/>
      <c r="AO14" s="249"/>
      <c r="AP14" s="248"/>
      <c r="AQ14" s="248"/>
      <c r="AR14" s="248"/>
      <c r="AS14" s="241"/>
      <c r="AT14" s="241"/>
      <c r="AU14" s="241"/>
      <c r="AV14" s="241"/>
      <c r="AW14" s="241"/>
      <c r="AX14" s="241"/>
      <c r="AY14" s="241"/>
      <c r="AZ14" s="241"/>
      <c r="BA14" s="242"/>
      <c r="BB14" s="242"/>
      <c r="BC14" s="241"/>
      <c r="BD14" s="241"/>
      <c r="BE14" s="241"/>
      <c r="BF14" s="241"/>
      <c r="BG14" s="242"/>
      <c r="BH14" s="246"/>
      <c r="BI14" s="241"/>
      <c r="BJ14" s="241"/>
      <c r="BK14" s="242"/>
      <c r="BL14" s="242"/>
      <c r="BM14" s="242"/>
      <c r="BN14" s="242"/>
      <c r="BO14" s="242"/>
      <c r="BP14" s="242"/>
      <c r="BQ14" s="242"/>
      <c r="BR14" s="242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36"/>
      <c r="FK14" s="236"/>
      <c r="FL14" s="236"/>
      <c r="FM14" s="236"/>
    </row>
    <row r="15" spans="1:169" ht="21.95" customHeight="1" thickBot="1" x14ac:dyDescent="0.25">
      <c r="A15" s="517"/>
      <c r="B15" s="517"/>
      <c r="C15" s="517"/>
      <c r="D15" s="517"/>
      <c r="E15" s="518" t="s">
        <v>181</v>
      </c>
      <c r="F15" s="519" t="s">
        <v>178</v>
      </c>
      <c r="G15" s="517"/>
      <c r="H15" s="515"/>
      <c r="I15" s="515"/>
      <c r="J15" s="515"/>
      <c r="K15" s="515"/>
      <c r="L15" s="515"/>
      <c r="M15" s="515"/>
      <c r="N15" s="515"/>
      <c r="O15" s="520"/>
      <c r="P15" s="520"/>
      <c r="Q15" s="520"/>
      <c r="R15" s="521">
        <v>1</v>
      </c>
      <c r="S15" s="522">
        <v>2</v>
      </c>
      <c r="T15" s="522">
        <v>3</v>
      </c>
      <c r="U15" s="523">
        <v>4</v>
      </c>
      <c r="V15" s="524">
        <v>5</v>
      </c>
      <c r="W15" s="516"/>
      <c r="X15" s="525">
        <v>1</v>
      </c>
      <c r="Y15" s="526">
        <v>2</v>
      </c>
      <c r="Z15" s="526">
        <v>3</v>
      </c>
      <c r="AA15" s="527">
        <v>4</v>
      </c>
      <c r="AC15" s="236"/>
      <c r="AD15" s="236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2"/>
      <c r="BL15" s="242"/>
      <c r="BM15" s="242"/>
      <c r="BN15" s="242"/>
      <c r="BO15" s="242"/>
      <c r="BP15" s="242"/>
      <c r="BQ15" s="242"/>
      <c r="BR15" s="242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241"/>
      <c r="DV15" s="241"/>
      <c r="DW15" s="241"/>
      <c r="DX15" s="241"/>
      <c r="DY15" s="241"/>
      <c r="DZ15" s="241"/>
      <c r="EA15" s="241"/>
      <c r="EB15" s="241"/>
      <c r="EC15" s="241"/>
      <c r="ED15" s="241"/>
      <c r="EE15" s="241"/>
      <c r="EF15" s="241"/>
      <c r="EG15" s="241"/>
      <c r="EH15" s="241"/>
      <c r="EI15" s="241"/>
      <c r="EJ15" s="241"/>
      <c r="EK15" s="241"/>
      <c r="EL15" s="241"/>
      <c r="EM15" s="241"/>
      <c r="EN15" s="241"/>
      <c r="EO15" s="241"/>
      <c r="EP15" s="241"/>
      <c r="EQ15" s="241"/>
      <c r="ER15" s="241"/>
      <c r="ES15" s="241"/>
      <c r="ET15" s="241"/>
      <c r="EU15" s="241"/>
      <c r="EV15" s="241"/>
      <c r="EW15" s="241"/>
      <c r="EX15" s="241"/>
      <c r="EY15" s="241"/>
      <c r="EZ15" s="241"/>
      <c r="FA15" s="241"/>
      <c r="FB15" s="241"/>
      <c r="FC15" s="241"/>
      <c r="FD15" s="241"/>
      <c r="FE15" s="241"/>
      <c r="FF15" s="241"/>
      <c r="FG15" s="241"/>
      <c r="FH15" s="241"/>
      <c r="FI15" s="241"/>
      <c r="FJ15" s="236"/>
      <c r="FK15" s="236"/>
      <c r="FL15" s="236"/>
      <c r="FM15" s="236"/>
    </row>
    <row r="16" spans="1:169" ht="27.95" customHeight="1" x14ac:dyDescent="0.2">
      <c r="A16" s="528">
        <v>1</v>
      </c>
      <c r="B16" s="529" t="s">
        <v>13</v>
      </c>
      <c r="C16" s="530">
        <v>4</v>
      </c>
      <c r="D16" s="531" t="str">
        <f>Rens!$F$4</f>
        <v>Sa</v>
      </c>
      <c r="E16" s="532">
        <f>Rens!$B$9</f>
        <v>0</v>
      </c>
      <c r="F16" s="533">
        <f>Rens!$C$9</f>
        <v>0</v>
      </c>
      <c r="G16" s="832" t="str">
        <f t="shared" ref="G16:G21" si="0" xml:space="preserve"> VLOOKUP(A16,$A$9:$O$12,9)</f>
        <v>PORTEBOEUF Louis</v>
      </c>
      <c r="H16" s="821"/>
      <c r="I16" s="821"/>
      <c r="J16" s="821"/>
      <c r="K16" s="821"/>
      <c r="L16" s="534" t="s">
        <v>9</v>
      </c>
      <c r="M16" s="821">
        <f t="shared" ref="M16:M21" si="1" xml:space="preserve"> VLOOKUP(C16,$A$9:$O$12,9)</f>
        <v>0</v>
      </c>
      <c r="N16" s="821"/>
      <c r="O16" s="821"/>
      <c r="P16" s="821"/>
      <c r="Q16" s="822"/>
      <c r="R16" s="535"/>
      <c r="S16" s="536"/>
      <c r="T16" s="536"/>
      <c r="U16" s="536"/>
      <c r="V16" s="537"/>
      <c r="W16" s="538"/>
      <c r="X16" s="539" t="str">
        <f>IF(AND(COUNTIF(($R16:$V16),"&gt;0")&gt;=2),1,IF(AND(COUNTIF(($R16:$V16),"&lt;0")&gt;=2),0,blanc))</f>
        <v xml:space="preserve"> </v>
      </c>
      <c r="Y16" s="540"/>
      <c r="Z16" s="540"/>
      <c r="AA16" s="541" t="str">
        <f>IF(AND(X16=0),1,IF(AND(X16=1),0,blanc))</f>
        <v xml:space="preserve"> </v>
      </c>
      <c r="AC16" s="236"/>
      <c r="AD16" s="236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>
        <f>BH16</f>
        <v>0</v>
      </c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 t="s">
        <v>41</v>
      </c>
      <c r="CT16" s="241"/>
      <c r="CU16" s="241"/>
      <c r="CV16" s="241"/>
      <c r="CW16" s="241"/>
      <c r="CX16" s="241"/>
      <c r="CY16" s="241"/>
      <c r="CZ16" s="241" t="s">
        <v>42</v>
      </c>
      <c r="DA16" s="241"/>
      <c r="DB16" s="241"/>
      <c r="DC16" s="241"/>
      <c r="DD16" s="241"/>
      <c r="DE16" s="236"/>
      <c r="DF16" s="241"/>
      <c r="DG16" s="241" t="s">
        <v>54</v>
      </c>
      <c r="DH16" s="241"/>
      <c r="DI16" s="241"/>
      <c r="DJ16" s="241"/>
      <c r="DK16" s="241"/>
      <c r="DL16" s="241"/>
      <c r="DM16" s="241"/>
      <c r="DN16" s="241" t="s">
        <v>55</v>
      </c>
      <c r="DO16" s="241"/>
      <c r="DP16" s="241"/>
      <c r="DQ16" s="241"/>
      <c r="DR16" s="241"/>
      <c r="DS16" s="241"/>
      <c r="DT16" s="241"/>
      <c r="DU16" s="241" t="s">
        <v>43</v>
      </c>
      <c r="DV16" s="241"/>
      <c r="DW16" s="241"/>
      <c r="DX16" s="241"/>
      <c r="DY16" s="241"/>
      <c r="DZ16" s="241"/>
      <c r="EA16" s="241"/>
      <c r="EB16" s="241" t="s">
        <v>44</v>
      </c>
      <c r="EC16" s="241"/>
      <c r="ED16" s="241"/>
      <c r="EE16" s="241"/>
      <c r="EF16" s="241"/>
      <c r="EG16" s="241"/>
      <c r="EH16" s="241"/>
      <c r="EI16" s="241" t="s">
        <v>56</v>
      </c>
      <c r="EJ16" s="241"/>
      <c r="EK16" s="241"/>
      <c r="EL16" s="241"/>
      <c r="EM16" s="241"/>
      <c r="EN16" s="241"/>
      <c r="EO16" s="241"/>
      <c r="EP16" s="241" t="s">
        <v>57</v>
      </c>
      <c r="EQ16" s="241"/>
      <c r="ER16" s="241"/>
      <c r="ES16" s="241"/>
      <c r="ET16" s="241"/>
      <c r="EU16" s="241"/>
      <c r="EV16" s="241"/>
      <c r="EW16" s="241" t="s">
        <v>45</v>
      </c>
      <c r="EX16" s="241"/>
      <c r="EY16" s="241"/>
      <c r="EZ16" s="241"/>
      <c r="FA16" s="241"/>
      <c r="FB16" s="241"/>
      <c r="FC16" s="241"/>
      <c r="FD16" s="241" t="s">
        <v>46</v>
      </c>
      <c r="FE16" s="241"/>
      <c r="FF16" s="241"/>
      <c r="FG16" s="241"/>
      <c r="FH16" s="241"/>
      <c r="FI16" s="241"/>
      <c r="FJ16" s="236"/>
      <c r="FK16" s="236"/>
      <c r="FL16" s="236"/>
      <c r="FM16" s="236"/>
    </row>
    <row r="17" spans="1:169" ht="27.95" customHeight="1" thickBot="1" x14ac:dyDescent="0.25">
      <c r="A17" s="542">
        <v>2</v>
      </c>
      <c r="B17" s="543" t="s">
        <v>13</v>
      </c>
      <c r="C17" s="544">
        <v>3</v>
      </c>
      <c r="D17" s="545"/>
      <c r="E17" s="546">
        <f>E16+0.021</f>
        <v>2.1000000000000001E-2</v>
      </c>
      <c r="F17" s="547">
        <f>F16</f>
        <v>0</v>
      </c>
      <c r="G17" s="817" t="str">
        <f t="shared" si="0"/>
        <v>TARROUX Chloe</v>
      </c>
      <c r="H17" s="818"/>
      <c r="I17" s="818"/>
      <c r="J17" s="818"/>
      <c r="K17" s="818"/>
      <c r="L17" s="548" t="s">
        <v>9</v>
      </c>
      <c r="M17" s="818" t="str">
        <f t="shared" si="1"/>
        <v xml:space="preserve">Maurice Loic </v>
      </c>
      <c r="N17" s="818"/>
      <c r="O17" s="818"/>
      <c r="P17" s="818"/>
      <c r="Q17" s="823"/>
      <c r="R17" s="549"/>
      <c r="S17" s="550"/>
      <c r="T17" s="550"/>
      <c r="U17" s="551"/>
      <c r="V17" s="552"/>
      <c r="W17" s="538"/>
      <c r="X17" s="553"/>
      <c r="Y17" s="554" t="str">
        <f>IF(AND(COUNTIF(($R17:$V17),"&gt;0")&gt;=2),1,IF(AND(COUNTIF(($R17:$V17),"&lt;0")&gt;=2),0,blanc))</f>
        <v xml:space="preserve"> </v>
      </c>
      <c r="Z17" s="554" t="str">
        <f>IF(AND(Y17=0),1,IF(AND(Y17=1),0,blanc))</f>
        <v xml:space="preserve"> </v>
      </c>
      <c r="AA17" s="555"/>
      <c r="AC17" s="236"/>
      <c r="AD17" s="236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 t="s">
        <v>33</v>
      </c>
      <c r="BV17" s="241" t="s">
        <v>5</v>
      </c>
      <c r="BW17" s="241" t="s">
        <v>35</v>
      </c>
      <c r="BX17" s="241"/>
      <c r="BY17" s="241" t="s">
        <v>36</v>
      </c>
      <c r="BZ17" s="241"/>
      <c r="CA17" s="241" t="s">
        <v>61</v>
      </c>
      <c r="CB17" s="241"/>
      <c r="CC17" s="241"/>
      <c r="CD17" s="241"/>
      <c r="CE17" s="241"/>
      <c r="CF17" s="250" t="s">
        <v>52</v>
      </c>
      <c r="CG17" s="250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51" t="s">
        <v>33</v>
      </c>
      <c r="CT17" s="242" t="s">
        <v>35</v>
      </c>
      <c r="CU17" s="242" t="s">
        <v>36</v>
      </c>
      <c r="CV17" s="242" t="s">
        <v>61</v>
      </c>
      <c r="CW17" s="242"/>
      <c r="CX17" s="252"/>
      <c r="CY17" s="241"/>
      <c r="CZ17" s="251" t="s">
        <v>33</v>
      </c>
      <c r="DA17" s="242" t="s">
        <v>35</v>
      </c>
      <c r="DB17" s="242" t="s">
        <v>36</v>
      </c>
      <c r="DC17" s="242" t="s">
        <v>61</v>
      </c>
      <c r="DD17" s="242"/>
      <c r="DE17" s="236"/>
      <c r="DF17" s="241"/>
      <c r="DG17" s="251" t="s">
        <v>33</v>
      </c>
      <c r="DH17" s="242" t="s">
        <v>35</v>
      </c>
      <c r="DI17" s="242" t="s">
        <v>36</v>
      </c>
      <c r="DJ17" s="242" t="s">
        <v>61</v>
      </c>
      <c r="DK17" s="242"/>
      <c r="DL17" s="252"/>
      <c r="DM17" s="241"/>
      <c r="DN17" s="251" t="s">
        <v>33</v>
      </c>
      <c r="DO17" s="242" t="s">
        <v>35</v>
      </c>
      <c r="DP17" s="242" t="s">
        <v>36</v>
      </c>
      <c r="DQ17" s="242" t="s">
        <v>61</v>
      </c>
      <c r="DR17" s="242"/>
      <c r="DS17" s="249"/>
      <c r="DT17" s="236"/>
      <c r="DU17" s="251" t="s">
        <v>33</v>
      </c>
      <c r="DV17" s="242" t="s">
        <v>35</v>
      </c>
      <c r="DW17" s="242" t="s">
        <v>36</v>
      </c>
      <c r="DX17" s="242" t="s">
        <v>61</v>
      </c>
      <c r="DY17" s="242"/>
      <c r="DZ17" s="249"/>
      <c r="EA17" s="236"/>
      <c r="EB17" s="251" t="s">
        <v>33</v>
      </c>
      <c r="EC17" s="242" t="s">
        <v>35</v>
      </c>
      <c r="ED17" s="242" t="s">
        <v>36</v>
      </c>
      <c r="EE17" s="242" t="s">
        <v>61</v>
      </c>
      <c r="EF17" s="242"/>
      <c r="EG17" s="252"/>
      <c r="EH17" s="236"/>
      <c r="EI17" s="251" t="s">
        <v>33</v>
      </c>
      <c r="EJ17" s="242" t="s">
        <v>35</v>
      </c>
      <c r="EK17" s="242" t="s">
        <v>36</v>
      </c>
      <c r="EL17" s="242" t="s">
        <v>61</v>
      </c>
      <c r="EM17" s="242"/>
      <c r="EN17" s="252"/>
      <c r="EO17" s="236"/>
      <c r="EP17" s="251" t="s">
        <v>33</v>
      </c>
      <c r="EQ17" s="242" t="s">
        <v>35</v>
      </c>
      <c r="ER17" s="242" t="s">
        <v>36</v>
      </c>
      <c r="ES17" s="242" t="s">
        <v>61</v>
      </c>
      <c r="ET17" s="242"/>
      <c r="EU17" s="242"/>
      <c r="EV17" s="236"/>
      <c r="EW17" s="251" t="s">
        <v>33</v>
      </c>
      <c r="EX17" s="242" t="s">
        <v>35</v>
      </c>
      <c r="EY17" s="242" t="s">
        <v>36</v>
      </c>
      <c r="EZ17" s="242" t="s">
        <v>61</v>
      </c>
      <c r="FA17" s="242"/>
      <c r="FB17" s="242"/>
      <c r="FC17" s="236"/>
      <c r="FD17" s="251" t="s">
        <v>33</v>
      </c>
      <c r="FE17" s="242" t="s">
        <v>35</v>
      </c>
      <c r="FF17" s="242" t="s">
        <v>36</v>
      </c>
      <c r="FG17" s="242" t="s">
        <v>61</v>
      </c>
      <c r="FH17" s="242"/>
      <c r="FI17" s="252"/>
      <c r="FJ17" s="236"/>
      <c r="FK17" s="236"/>
      <c r="FL17" s="236"/>
      <c r="FM17" s="236"/>
    </row>
    <row r="18" spans="1:169" ht="27.95" customHeight="1" thickTop="1" x14ac:dyDescent="0.2">
      <c r="A18" s="542">
        <v>1</v>
      </c>
      <c r="B18" s="543" t="s">
        <v>13</v>
      </c>
      <c r="C18" s="544">
        <v>3</v>
      </c>
      <c r="D18" s="545" t="str">
        <f>D16</f>
        <v>Sa</v>
      </c>
      <c r="E18" s="546">
        <f>E17+0.021</f>
        <v>4.2000000000000003E-2</v>
      </c>
      <c r="F18" s="547">
        <f>F16</f>
        <v>0</v>
      </c>
      <c r="G18" s="817" t="str">
        <f t="shared" si="0"/>
        <v>PORTEBOEUF Louis</v>
      </c>
      <c r="H18" s="818"/>
      <c r="I18" s="818"/>
      <c r="J18" s="818"/>
      <c r="K18" s="818"/>
      <c r="L18" s="548" t="s">
        <v>9</v>
      </c>
      <c r="M18" s="818" t="str">
        <f t="shared" si="1"/>
        <v xml:space="preserve">Maurice Loic </v>
      </c>
      <c r="N18" s="818"/>
      <c r="O18" s="818"/>
      <c r="P18" s="818"/>
      <c r="Q18" s="823"/>
      <c r="R18" s="556"/>
      <c r="S18" s="551"/>
      <c r="T18" s="551"/>
      <c r="U18" s="551"/>
      <c r="V18" s="552"/>
      <c r="W18" s="538"/>
      <c r="X18" s="557" t="str">
        <f>IF(AND(COUNTIF(($R18:$V18),"&gt;0")&gt;=2),1,IF(AND(COUNTIF(($R18:$V18),"&lt;0")&gt;=2),0,blanc))</f>
        <v xml:space="preserve"> </v>
      </c>
      <c r="Y18" s="558"/>
      <c r="Z18" s="554" t="str">
        <f>IF(AND(X18=0),1,IF(AND(X18=1),0,blanc))</f>
        <v xml:space="preserve"> </v>
      </c>
      <c r="AA18" s="555"/>
      <c r="AC18" s="253" t="s">
        <v>37</v>
      </c>
      <c r="AD18" s="254" t="str">
        <f>AI7</f>
        <v>IG1</v>
      </c>
      <c r="AE18" s="255"/>
      <c r="AF18" s="256" t="s">
        <v>64</v>
      </c>
      <c r="AG18" s="257"/>
      <c r="AH18" s="256" t="s">
        <v>65</v>
      </c>
      <c r="AI18" s="257"/>
      <c r="AJ18" s="256" t="s">
        <v>66</v>
      </c>
      <c r="AK18" s="257"/>
      <c r="AL18" s="256" t="s">
        <v>67</v>
      </c>
      <c r="AM18" s="258"/>
      <c r="AN18" s="256" t="s">
        <v>68</v>
      </c>
      <c r="AO18" s="259"/>
      <c r="AP18" s="260" t="s">
        <v>38</v>
      </c>
      <c r="AQ18" s="261"/>
      <c r="AR18" s="261"/>
      <c r="AS18" s="261"/>
      <c r="AT18" s="262"/>
      <c r="AU18" s="263"/>
      <c r="AV18" s="264"/>
      <c r="AW18" s="264"/>
      <c r="AX18" s="264"/>
      <c r="AY18" s="265" t="s">
        <v>38</v>
      </c>
      <c r="AZ18" s="255"/>
      <c r="BA18" s="255"/>
      <c r="BB18" s="255"/>
      <c r="BC18" s="266" t="s">
        <v>69</v>
      </c>
      <c r="BD18" s="255"/>
      <c r="BE18" s="255"/>
      <c r="BF18" s="255"/>
      <c r="BG18" s="255"/>
      <c r="BH18" s="255"/>
      <c r="BI18" s="255"/>
      <c r="BJ18" s="255"/>
      <c r="BK18" s="255"/>
      <c r="BL18" s="266" t="s">
        <v>39</v>
      </c>
      <c r="BM18" s="266" t="s">
        <v>40</v>
      </c>
      <c r="BN18" s="266"/>
      <c r="BO18" s="267"/>
      <c r="BQ18" s="268"/>
      <c r="BR18" s="248"/>
      <c r="BS18" s="237" t="str">
        <f>AE9</f>
        <v>A</v>
      </c>
      <c r="BT18" s="269"/>
      <c r="BU18" s="269"/>
      <c r="BV18" s="237" t="str">
        <f>BH24</f>
        <v>M</v>
      </c>
      <c r="BW18" s="237" t="e">
        <f>BL24</f>
        <v>#VALUE!</v>
      </c>
      <c r="BX18" s="237" t="str">
        <f>BH22</f>
        <v>M</v>
      </c>
      <c r="BY18" s="237" t="e">
        <f>BL22</f>
        <v>#VALUE!</v>
      </c>
      <c r="BZ18" s="237" t="str">
        <f>BH20</f>
        <v>M</v>
      </c>
      <c r="CA18" s="270" t="e">
        <f>BL20</f>
        <v>#VALUE!</v>
      </c>
      <c r="CB18" s="248"/>
      <c r="CC18" s="248"/>
      <c r="CD18" s="271"/>
      <c r="CE18" s="271"/>
      <c r="CF18" s="249" t="e">
        <f t="shared" ref="CF18:CF24" si="2">SUM(CH18:CL18)</f>
        <v>#VALUE!</v>
      </c>
      <c r="CG18" s="242" t="e">
        <f t="shared" ref="CG18:CG24" si="3">SUM(CM18:CQ18)</f>
        <v>#VALUE!</v>
      </c>
      <c r="CH18" s="237" t="e">
        <f>IF(BV18&gt;BW18,1,0)</f>
        <v>#VALUE!</v>
      </c>
      <c r="CI18" s="237" t="e">
        <f>IF(BX18&gt;BY18,1,0)</f>
        <v>#VALUE!</v>
      </c>
      <c r="CJ18" s="237" t="e">
        <f>IF(BZ18&gt;CA18,1,0)</f>
        <v>#VALUE!</v>
      </c>
      <c r="CK18" s="237">
        <f>IF(CB18&gt;CC18,1,0)</f>
        <v>0</v>
      </c>
      <c r="CL18" s="237">
        <f>IF(CD18&gt;CE18,1,0)</f>
        <v>0</v>
      </c>
      <c r="CM18" s="272" t="e">
        <f>IF(BV18&lt;BW18,1,0)</f>
        <v>#VALUE!</v>
      </c>
      <c r="CN18" s="237" t="e">
        <f>IF(BX18&lt;BY18,1,0)</f>
        <v>#VALUE!</v>
      </c>
      <c r="CO18" s="237" t="e">
        <f>IF(BZ18&lt;CA18,1,0)</f>
        <v>#VALUE!</v>
      </c>
      <c r="CP18" s="237">
        <f>IF(CB18&lt;CC18,1,0)</f>
        <v>0</v>
      </c>
      <c r="CQ18" s="237">
        <f>IF(CD18&lt;CE18,1,0)</f>
        <v>0</v>
      </c>
      <c r="CR18" s="237" t="s">
        <v>33</v>
      </c>
      <c r="CS18" s="273" t="s">
        <v>53</v>
      </c>
      <c r="CT18" s="239" t="e">
        <f>IF(CF18=CF19,AY24,"xxx")</f>
        <v>#VALUE!</v>
      </c>
      <c r="CU18" s="239" t="e">
        <f>IF(CF18=CF20,AY22,"xxx")</f>
        <v>#VALUE!</v>
      </c>
      <c r="CV18" s="239" t="e">
        <f>IF(CF18=CF21,AY20,"xxx")</f>
        <v>#VALUE!</v>
      </c>
      <c r="CW18" s="274"/>
      <c r="CX18" s="249" t="e">
        <f>SUM(CS18:CW18)</f>
        <v>#VALUE!</v>
      </c>
      <c r="CY18" s="237" t="s">
        <v>33</v>
      </c>
      <c r="CZ18" s="273" t="s">
        <v>53</v>
      </c>
      <c r="DA18" s="239" t="e">
        <f>IF(CF18=CF19,AZ24,"xxx")</f>
        <v>#VALUE!</v>
      </c>
      <c r="DB18" s="239" t="e">
        <f>IF(CF18=CF20,BA22,"xxx")</f>
        <v>#VALUE!</v>
      </c>
      <c r="DC18" s="239" t="e">
        <f>IF(CF18=CF21,BB20,"xxx")</f>
        <v>#VALUE!</v>
      </c>
      <c r="DD18" s="274"/>
      <c r="DE18" s="249" t="e">
        <f>SUM(CZ18:DD18)</f>
        <v>#VALUE!</v>
      </c>
      <c r="DF18" s="237" t="s">
        <v>33</v>
      </c>
      <c r="DG18" s="273" t="s">
        <v>53</v>
      </c>
      <c r="DH18" s="239" t="e">
        <f>IF(AND(BA9&lt;&gt;0,AY9=AY10),IF(BA9=BA10,AY24,"xxx"),"xxx")</f>
        <v>#VALUE!</v>
      </c>
      <c r="DI18" s="239" t="e">
        <f>IF(AND(BA9&lt;&gt;0,AY9=AY11),IF(BA9=BA11,AY22,"xxx"),"xxx")</f>
        <v>#VALUE!</v>
      </c>
      <c r="DJ18" s="239" t="e">
        <f>IF(AND(BA9&lt;&gt;0,AY9=AY12),IF(BA9=BA12,AY20,"xxx"),"xxx")</f>
        <v>#VALUE!</v>
      </c>
      <c r="DK18" s="274"/>
      <c r="DL18" s="249" t="e">
        <f>SUM(DG18:DK18)</f>
        <v>#VALUE!</v>
      </c>
      <c r="DM18" s="237" t="s">
        <v>33</v>
      </c>
      <c r="DN18" s="273" t="s">
        <v>53</v>
      </c>
      <c r="DO18" s="239" t="e">
        <f>IF(AND(BA9&lt;&gt;0,AY9=AY10),IF(BA9=BA10,AZ24,"xxx"),"xxx")</f>
        <v>#VALUE!</v>
      </c>
      <c r="DP18" s="239" t="e">
        <f>IF(AND(BA9&lt;&gt;0,AY9=AY11),IF(BA9=BA11,BA22,"xxx"),"xxx")</f>
        <v>#VALUE!</v>
      </c>
      <c r="DQ18" s="239" t="e">
        <f>IF(AND(BA9&lt;&gt;0,AY9=AY12),IF(BA9=BA12,BB20,"xxx"),"xxx")</f>
        <v>#VALUE!</v>
      </c>
      <c r="DR18" s="274"/>
      <c r="DS18" s="249" t="e">
        <f>SUM(DN18:DR18)</f>
        <v>#VALUE!</v>
      </c>
      <c r="DT18" s="237" t="s">
        <v>33</v>
      </c>
      <c r="DU18" s="273" t="s">
        <v>53</v>
      </c>
      <c r="DV18" s="239" t="e">
        <f>IF(AND(CF18=CF19,BA9=BA10),BH24,"kkk")</f>
        <v>#VALUE!</v>
      </c>
      <c r="DW18" s="239" t="e">
        <f>IF(AND(CF18=CF20,BA9=BA11),BH22,"kkk")</f>
        <v>#VALUE!</v>
      </c>
      <c r="DX18" s="239" t="e">
        <f>IF(AND(CF18=CF21,BA9=BA12),BH20,"kkk")</f>
        <v>#VALUE!</v>
      </c>
      <c r="DY18" s="274"/>
      <c r="DZ18" s="249" t="e">
        <f>SUM(DU18:DY18)</f>
        <v>#VALUE!</v>
      </c>
      <c r="EA18" s="237" t="s">
        <v>33</v>
      </c>
      <c r="EB18" s="273" t="s">
        <v>53</v>
      </c>
      <c r="EC18" s="239" t="e">
        <f>IF(AND(CF18=CF19,BA9=BA10),BL24,"kkk")</f>
        <v>#VALUE!</v>
      </c>
      <c r="ED18" s="239" t="e">
        <f>IF(AND(CF18=CF20,BA9=BA11),BL22,"kkk")</f>
        <v>#VALUE!</v>
      </c>
      <c r="EE18" s="239" t="e">
        <f>IF(AND(CF18=CF21,BA9=BA12),BL20,"kkk")</f>
        <v>#VALUE!</v>
      </c>
      <c r="EF18" s="274"/>
      <c r="EG18" s="249" t="e">
        <f>SUM(EB18:EF18)</f>
        <v>#VALUE!</v>
      </c>
      <c r="EH18" s="237" t="s">
        <v>33</v>
      </c>
      <c r="EI18" s="273" t="s">
        <v>53</v>
      </c>
      <c r="EJ18" s="239" t="e">
        <f>IF(BD9&lt;&gt;"ùùù",IF(AND(CF18=CF19,BD9=BD10),BH24,"kkk"),"kkk")</f>
        <v>#VALUE!</v>
      </c>
      <c r="EK18" s="239" t="e">
        <f>IF(BD9&lt;&gt;"ùùù",IF(AND(CF18=CF20,BD9=BD11),BH22,"kkk"),"kkk")</f>
        <v>#VALUE!</v>
      </c>
      <c r="EL18" s="239" t="e">
        <f>IF(BD9&lt;&gt;"ùùù",IF(AND(CF18=CF21,BD9=BD12),BH20,"kkk"),"kkk")</f>
        <v>#VALUE!</v>
      </c>
      <c r="EM18" s="274"/>
      <c r="EN18" s="249" t="e">
        <f>SUM(EI18:EM18)</f>
        <v>#VALUE!</v>
      </c>
      <c r="EO18" s="237" t="s">
        <v>33</v>
      </c>
      <c r="EP18" s="273" t="s">
        <v>53</v>
      </c>
      <c r="EQ18" s="239" t="e">
        <f>IF(BD9&lt;&gt;"ùùù",IF(AND(CF18=CF19,BD9=BD10),BL24,"kkk"),"kkk")</f>
        <v>#VALUE!</v>
      </c>
      <c r="ER18" s="239" t="e">
        <f>IF(BD9&lt;&gt;"ùùù",IF(AND(CF18=CF20,BD9=BD11),BL22,"kkk"),"kkk")</f>
        <v>#VALUE!</v>
      </c>
      <c r="ES18" s="239" t="e">
        <f>IF(BD9&lt;&gt;"ùùù",IF(AND(CF18=CF21,BD9=BD12),BL20,"kkk"),"kkk")</f>
        <v>#VALUE!</v>
      </c>
      <c r="ET18" s="274"/>
      <c r="EU18" s="249" t="e">
        <f>SUM(EP18:ET18)</f>
        <v>#VALUE!</v>
      </c>
      <c r="EV18" s="237" t="s">
        <v>33</v>
      </c>
      <c r="EW18" s="273" t="s">
        <v>53</v>
      </c>
      <c r="EX18" s="239" t="e">
        <f>IF(AND(CF18=CF19,BC9=BC10),+AF24+AH24+AJ24+AL24+AN24,"xxx")</f>
        <v>#VALUE!</v>
      </c>
      <c r="EY18" s="239" t="e">
        <f>IF(AND(CF18=CF20,BC9=BC11),+AF22+AH22+AJ22+AL22+AN22,"xxx")</f>
        <v>#VALUE!</v>
      </c>
      <c r="EZ18" s="239" t="e">
        <f>IF(AND(CF18=CF21,BC9=BC12),+AF20+AH20+AJ20+AL20+AN20,"xxx")</f>
        <v>#VALUE!</v>
      </c>
      <c r="FA18" s="274"/>
      <c r="FB18" s="249" t="e">
        <f>SUM(EW18:FA18)</f>
        <v>#VALUE!</v>
      </c>
      <c r="FC18" s="237" t="s">
        <v>33</v>
      </c>
      <c r="FD18" s="273" t="s">
        <v>53</v>
      </c>
      <c r="FE18" s="239" t="e">
        <f>IF(AND(CF18=CF19,BC9=BC10),+AG24+AI24+AK24+AM24+AO24,"xxx")</f>
        <v>#VALUE!</v>
      </c>
      <c r="FF18" s="239" t="e">
        <f>IF(AND(CF18=CF20,BC9=BC11),+AG22+AI22+AK22+AM22+AO22,"xxx")</f>
        <v>#VALUE!</v>
      </c>
      <c r="FG18" s="239" t="e">
        <f>IF(AND(CF18=CF21,BC9=BC12),+AG20+AI20+AK20+AM20+AO20,"xxx")</f>
        <v>#VALUE!</v>
      </c>
      <c r="FH18" s="274"/>
      <c r="FI18" s="249" t="e">
        <f>SUM(FD18:FH18)</f>
        <v>#VALUE!</v>
      </c>
      <c r="FJ18" s="264"/>
      <c r="FK18" s="264"/>
      <c r="FL18" s="264"/>
      <c r="FM18" s="264"/>
    </row>
    <row r="19" spans="1:169" ht="27.95" customHeight="1" x14ac:dyDescent="0.2">
      <c r="A19" s="542">
        <v>2</v>
      </c>
      <c r="B19" s="543" t="s">
        <v>13</v>
      </c>
      <c r="C19" s="544">
        <v>4</v>
      </c>
      <c r="D19" s="545"/>
      <c r="E19" s="546">
        <f>E18+0.021</f>
        <v>6.3E-2</v>
      </c>
      <c r="F19" s="547">
        <f>F16</f>
        <v>0</v>
      </c>
      <c r="G19" s="817" t="str">
        <f t="shared" si="0"/>
        <v>TARROUX Chloe</v>
      </c>
      <c r="H19" s="818"/>
      <c r="I19" s="818"/>
      <c r="J19" s="818"/>
      <c r="K19" s="818"/>
      <c r="L19" s="548" t="s">
        <v>9</v>
      </c>
      <c r="M19" s="818">
        <f t="shared" si="1"/>
        <v>0</v>
      </c>
      <c r="N19" s="818"/>
      <c r="O19" s="818"/>
      <c r="P19" s="818"/>
      <c r="Q19" s="823"/>
      <c r="R19" s="556"/>
      <c r="S19" s="551"/>
      <c r="T19" s="551"/>
      <c r="U19" s="551"/>
      <c r="V19" s="552"/>
      <c r="W19" s="538"/>
      <c r="X19" s="553"/>
      <c r="Y19" s="554" t="str">
        <f>IF(AND(COUNTIF(($R19:$V19),"&gt;0")&gt;=2),1,IF(AND(COUNTIF(($R19:$V19),"&lt;0")&gt;=2),0,blanc))</f>
        <v xml:space="preserve"> </v>
      </c>
      <c r="Z19" s="558"/>
      <c r="AA19" s="559" t="str">
        <f>IF(AND(Y19=0),1,IF(AND(Y19=1),0,blanc))</f>
        <v xml:space="preserve"> </v>
      </c>
      <c r="AC19" s="896" t="s">
        <v>47</v>
      </c>
      <c r="AD19" s="897"/>
      <c r="AE19" s="275" t="s">
        <v>48</v>
      </c>
      <c r="AF19" s="276" t="s">
        <v>49</v>
      </c>
      <c r="AG19" s="277" t="s">
        <v>50</v>
      </c>
      <c r="AH19" s="277" t="s">
        <v>49</v>
      </c>
      <c r="AI19" s="277" t="s">
        <v>50</v>
      </c>
      <c r="AJ19" s="277" t="s">
        <v>49</v>
      </c>
      <c r="AK19" s="277" t="s">
        <v>50</v>
      </c>
      <c r="AL19" s="277" t="s">
        <v>49</v>
      </c>
      <c r="AM19" s="277" t="s">
        <v>50</v>
      </c>
      <c r="AN19" s="277" t="s">
        <v>49</v>
      </c>
      <c r="AO19" s="278" t="s">
        <v>50</v>
      </c>
      <c r="AP19" s="279" t="s">
        <v>33</v>
      </c>
      <c r="AQ19" s="239" t="s">
        <v>35</v>
      </c>
      <c r="AR19" s="239" t="s">
        <v>36</v>
      </c>
      <c r="AS19" s="239" t="s">
        <v>61</v>
      </c>
      <c r="AT19" s="280"/>
      <c r="AU19" s="252"/>
      <c r="AV19" s="247"/>
      <c r="AW19" s="247"/>
      <c r="AX19" s="247"/>
      <c r="AY19" s="281" t="s">
        <v>33</v>
      </c>
      <c r="AZ19" s="239" t="s">
        <v>35</v>
      </c>
      <c r="BA19" s="239" t="s">
        <v>36</v>
      </c>
      <c r="BB19" s="239" t="s">
        <v>61</v>
      </c>
      <c r="BC19" s="239">
        <v>1</v>
      </c>
      <c r="BD19" s="239">
        <v>2</v>
      </c>
      <c r="BE19" s="239">
        <v>3</v>
      </c>
      <c r="BF19" s="239">
        <v>4</v>
      </c>
      <c r="BG19" s="239">
        <v>5</v>
      </c>
      <c r="BH19" s="239" t="s">
        <v>40</v>
      </c>
      <c r="BI19" s="239" t="s">
        <v>51</v>
      </c>
      <c r="BJ19" s="239"/>
      <c r="BK19" s="239"/>
      <c r="BL19" s="239" t="s">
        <v>70</v>
      </c>
      <c r="BM19" s="239" t="s">
        <v>40</v>
      </c>
      <c r="BN19" s="239"/>
      <c r="BO19" s="282"/>
      <c r="BQ19" s="268"/>
      <c r="BR19" s="248"/>
      <c r="BS19" s="237" t="str">
        <f>AE10</f>
        <v>B</v>
      </c>
      <c r="BT19" s="237" t="e">
        <f>BW18</f>
        <v>#VALUE!</v>
      </c>
      <c r="BU19" s="237" t="str">
        <f>BV18</f>
        <v>M</v>
      </c>
      <c r="BV19" s="269"/>
      <c r="BW19" s="269"/>
      <c r="BX19" s="237" t="str">
        <f>BH21</f>
        <v>M</v>
      </c>
      <c r="BY19" s="237" t="e">
        <f>BL21</f>
        <v>#VALUE!</v>
      </c>
      <c r="BZ19" s="237" t="str">
        <f>BH23</f>
        <v>M</v>
      </c>
      <c r="CA19" s="270" t="e">
        <f>BL23</f>
        <v>#VALUE!</v>
      </c>
      <c r="CB19" s="248"/>
      <c r="CC19" s="248"/>
      <c r="CD19" s="271"/>
      <c r="CE19" s="271"/>
      <c r="CF19" s="249" t="e">
        <f t="shared" si="2"/>
        <v>#VALUE!</v>
      </c>
      <c r="CG19" s="242" t="e">
        <f t="shared" si="3"/>
        <v>#VALUE!</v>
      </c>
      <c r="CH19" s="237" t="e">
        <f>IF(BT19&gt;BU19,1,0)</f>
        <v>#VALUE!</v>
      </c>
      <c r="CI19" s="237" t="e">
        <f>IF(BX19&gt;BY19,1,0)</f>
        <v>#VALUE!</v>
      </c>
      <c r="CJ19" s="237" t="e">
        <f>IF(BZ19&gt;CA19,1,0)</f>
        <v>#VALUE!</v>
      </c>
      <c r="CK19" s="237">
        <f>IF(CB19&gt;CC19,1,0)</f>
        <v>0</v>
      </c>
      <c r="CL19" s="237">
        <f>IF(CD19&gt;CE19,1,0)</f>
        <v>0</v>
      </c>
      <c r="CM19" s="272" t="e">
        <f>IF(BT19&lt;BU19,1,0)</f>
        <v>#VALUE!</v>
      </c>
      <c r="CN19" s="237" t="e">
        <f>IF(BX19&lt;BY19,1,0)</f>
        <v>#VALUE!</v>
      </c>
      <c r="CO19" s="237" t="e">
        <f>IF(BZ19&lt;CA19,1,0)</f>
        <v>#VALUE!</v>
      </c>
      <c r="CP19" s="237">
        <f>IF(CB19&lt;CC19,1,0)</f>
        <v>0</v>
      </c>
      <c r="CQ19" s="237">
        <f>IF(CD19&lt;CE19,1,0)</f>
        <v>0</v>
      </c>
      <c r="CR19" s="237" t="s">
        <v>35</v>
      </c>
      <c r="CS19" s="239" t="e">
        <f>IF(CF19=CF18,AZ24,"xxx")</f>
        <v>#VALUE!</v>
      </c>
      <c r="CT19" s="273" t="s">
        <v>53</v>
      </c>
      <c r="CU19" s="239" t="e">
        <f>IF(CF19=CF20,AZ21,"xxx")</f>
        <v>#VALUE!</v>
      </c>
      <c r="CV19" s="239" t="e">
        <f>IF(CF19=CF21,AZ23,"xxx")</f>
        <v>#VALUE!</v>
      </c>
      <c r="CW19" s="274"/>
      <c r="CX19" s="249" t="e">
        <f>SUM(CS19:CW19)</f>
        <v>#VALUE!</v>
      </c>
      <c r="CY19" s="237" t="s">
        <v>35</v>
      </c>
      <c r="CZ19" s="239" t="e">
        <f>IF(CF19=CF18,AY24,"xxx")</f>
        <v>#VALUE!</v>
      </c>
      <c r="DA19" s="273" t="s">
        <v>53</v>
      </c>
      <c r="DB19" s="239" t="e">
        <f>IF(CF19=CF20,BA21,"xxx")</f>
        <v>#VALUE!</v>
      </c>
      <c r="DC19" s="239" t="e">
        <f>IF(CF19=CF21,BB23,"xxx")</f>
        <v>#VALUE!</v>
      </c>
      <c r="DD19" s="274"/>
      <c r="DE19" s="249" t="e">
        <f>SUM(CZ19:DD19)</f>
        <v>#VALUE!</v>
      </c>
      <c r="DF19" s="237" t="s">
        <v>35</v>
      </c>
      <c r="DG19" s="239" t="e">
        <f>IF(AND(BA10&lt;&gt;0,AY10=AY9),IF(BA10=BA9,AZ24,"xxx"),"xxx")</f>
        <v>#VALUE!</v>
      </c>
      <c r="DH19" s="273" t="s">
        <v>53</v>
      </c>
      <c r="DI19" s="239" t="e">
        <f>IF(AND(BA10&lt;&gt;0,AY10=AY11),IF(BA10=BA11,AZ21,"xxx"),"xxx")</f>
        <v>#VALUE!</v>
      </c>
      <c r="DJ19" s="239" t="e">
        <f>IF(AND(BA10&lt;&gt;0,AY10=AY12),IF(BA10=BA12,AZ23,"xxx"),"xxx")</f>
        <v>#VALUE!</v>
      </c>
      <c r="DK19" s="274"/>
      <c r="DL19" s="249" t="e">
        <f>SUM(DG19:DK19)</f>
        <v>#VALUE!</v>
      </c>
      <c r="DM19" s="237" t="s">
        <v>35</v>
      </c>
      <c r="DN19" s="239" t="e">
        <f>IF(AND(BA10&lt;&gt;0,AY10=AY9),IF(BA10=BA9,AY24,"xxx"),"xxx")</f>
        <v>#VALUE!</v>
      </c>
      <c r="DO19" s="273" t="s">
        <v>53</v>
      </c>
      <c r="DP19" s="239" t="e">
        <f>IF(AND(BA10&lt;&gt;0,AY10=AY11),IF(BA10=BA11,BA21,"xxx"),"xxx")</f>
        <v>#VALUE!</v>
      </c>
      <c r="DQ19" s="239" t="e">
        <f>IF(AND(BA10&lt;&gt;0,AY10=AY12),IF(BA10=BA12,BB23,"xxx"),"xxx")</f>
        <v>#VALUE!</v>
      </c>
      <c r="DR19" s="274"/>
      <c r="DS19" s="249" t="e">
        <f>SUM(DN19:DR19)</f>
        <v>#VALUE!</v>
      </c>
      <c r="DT19" s="237" t="s">
        <v>35</v>
      </c>
      <c r="DU19" s="239" t="e">
        <f>IF(AND(CF19=CF18,BA10=BA9),BL24,"kkk")</f>
        <v>#VALUE!</v>
      </c>
      <c r="DV19" s="273" t="s">
        <v>53</v>
      </c>
      <c r="DW19" s="239" t="e">
        <f>IF(AND(CF19=CF20,BA10=BA11),BH21,"kkk")</f>
        <v>#VALUE!</v>
      </c>
      <c r="DX19" s="239" t="e">
        <f>IF(AND(CF19=CF21,BA10=BA12),BH23,"kkk")</f>
        <v>#VALUE!</v>
      </c>
      <c r="DY19" s="274"/>
      <c r="DZ19" s="249" t="e">
        <f>SUM(DU19:DY19)</f>
        <v>#VALUE!</v>
      </c>
      <c r="EA19" s="237" t="s">
        <v>35</v>
      </c>
      <c r="EB19" s="239" t="e">
        <f>IF(AND(CF19=CF18,BA10=BA9),BH24,"kkk")</f>
        <v>#VALUE!</v>
      </c>
      <c r="EC19" s="273" t="s">
        <v>53</v>
      </c>
      <c r="ED19" s="239" t="e">
        <f>IF(AND(CF19=CF20,BA10=BA11),BL21,"kkk")</f>
        <v>#VALUE!</v>
      </c>
      <c r="EE19" s="239" t="e">
        <f>IF(AND(CF19=CF21,BA10=BA12),BL23,"kkk")</f>
        <v>#VALUE!</v>
      </c>
      <c r="EF19" s="274"/>
      <c r="EG19" s="249" t="e">
        <f>SUM(EB19:EF19)</f>
        <v>#VALUE!</v>
      </c>
      <c r="EH19" s="237" t="s">
        <v>35</v>
      </c>
      <c r="EI19" s="239" t="e">
        <f>IF(BD10&lt;&gt;"ùùù",IF(AND(CF19=CF18,BD10=BD9),BL24,"kkk"),"kkk")</f>
        <v>#VALUE!</v>
      </c>
      <c r="EJ19" s="273" t="s">
        <v>53</v>
      </c>
      <c r="EK19" s="239" t="e">
        <f>IF(BD10&lt;&gt;"ùùù",IF(AND(CF19=CF20,BD10=BD11),BH21,"kkk"),"kkk")</f>
        <v>#VALUE!</v>
      </c>
      <c r="EL19" s="239" t="e">
        <f>IF(BD10&lt;&gt;"ùùù",IF(AND(CF19=CF21,BD10=BD12),BH23,"kkk"),"kkk")</f>
        <v>#VALUE!</v>
      </c>
      <c r="EM19" s="274"/>
      <c r="EN19" s="249" t="e">
        <f>SUM(EI19:EM19)</f>
        <v>#VALUE!</v>
      </c>
      <c r="EO19" s="237" t="s">
        <v>35</v>
      </c>
      <c r="EP19" s="239" t="e">
        <f>IF(BD10&lt;&gt;"ùùù",IF(AND(CF19=CF18,BD10=BD9),BH24,"kkk"),"kkk")</f>
        <v>#VALUE!</v>
      </c>
      <c r="EQ19" s="273" t="s">
        <v>53</v>
      </c>
      <c r="ER19" s="239" t="e">
        <f>IF(BD10&lt;&gt;"ùùù",IF(AND(CF19=CF20,BD10=BD11),BL21,"kkk"),"kkk")</f>
        <v>#VALUE!</v>
      </c>
      <c r="ES19" s="239" t="e">
        <f>IF(BD10&lt;&gt;"ùùù",IF(AND(CF19=CF21,BD10=BD12),BL23,"kkk"),"kkk")</f>
        <v>#VALUE!</v>
      </c>
      <c r="ET19" s="274"/>
      <c r="EU19" s="249" t="e">
        <f>SUM(EP19:ET19)</f>
        <v>#VALUE!</v>
      </c>
      <c r="EV19" s="237" t="s">
        <v>35</v>
      </c>
      <c r="EW19" s="239" t="e">
        <f>IF(AND(CF19=CF18,BC10=BC9),+AG24+AI24+AK24+AM24+AO24,"xxx")</f>
        <v>#VALUE!</v>
      </c>
      <c r="EX19" s="273" t="s">
        <v>53</v>
      </c>
      <c r="EY19" s="239" t="e">
        <f>IF(AND(CF19=CF20,BC10=BC11),+AF21+AH21+AJ21+AL21+AN21,"xxx")</f>
        <v>#VALUE!</v>
      </c>
      <c r="EZ19" s="239" t="e">
        <f>IF(AND(CF19=CF21,BC10=BC12),+AF23+AH23+AJ23+AL23+AN23,"xxx")</f>
        <v>#VALUE!</v>
      </c>
      <c r="FA19" s="274"/>
      <c r="FB19" s="249" t="e">
        <f>SUM(EW19:FA19)</f>
        <v>#VALUE!</v>
      </c>
      <c r="FC19" s="237" t="s">
        <v>35</v>
      </c>
      <c r="FD19" s="239" t="e">
        <f>IF(AND(CF19=CF18,BC10=BC9),+AF24+AH24+AJ24+AL24+AN24,"xxx")</f>
        <v>#VALUE!</v>
      </c>
      <c r="FE19" s="273" t="s">
        <v>53</v>
      </c>
      <c r="FF19" s="239" t="e">
        <f>IF(AND(CF19=CF20,BC10=BC11),+AG21+AI21+AK21+AM21+AO21,"xxx")</f>
        <v>#VALUE!</v>
      </c>
      <c r="FG19" s="239" t="e">
        <f>IF(AND(CF19=CF21,BC10=BC12),+AG23+AI23+AK23+AM23+AO23,"xxx")</f>
        <v>#VALUE!</v>
      </c>
      <c r="FH19" s="274"/>
      <c r="FI19" s="249" t="e">
        <f>SUM(FD19:FH19)</f>
        <v>#VALUE!</v>
      </c>
      <c r="FJ19" s="247"/>
      <c r="FK19" s="247"/>
      <c r="FL19" s="247"/>
      <c r="FM19" s="247"/>
    </row>
    <row r="20" spans="1:169" ht="27.95" customHeight="1" x14ac:dyDescent="0.2">
      <c r="A20" s="542">
        <v>1</v>
      </c>
      <c r="B20" s="543" t="s">
        <v>13</v>
      </c>
      <c r="C20" s="544">
        <v>2</v>
      </c>
      <c r="D20" s="545" t="str">
        <f>D16</f>
        <v>Sa</v>
      </c>
      <c r="E20" s="546">
        <f>E19+0.021</f>
        <v>8.4000000000000005E-2</v>
      </c>
      <c r="F20" s="547">
        <f>F16</f>
        <v>0</v>
      </c>
      <c r="G20" s="817" t="str">
        <f t="shared" si="0"/>
        <v>PORTEBOEUF Louis</v>
      </c>
      <c r="H20" s="818"/>
      <c r="I20" s="818"/>
      <c r="J20" s="818"/>
      <c r="K20" s="818"/>
      <c r="L20" s="548" t="s">
        <v>9</v>
      </c>
      <c r="M20" s="818" t="str">
        <f t="shared" si="1"/>
        <v>TARROUX Chloe</v>
      </c>
      <c r="N20" s="818"/>
      <c r="O20" s="818"/>
      <c r="P20" s="818"/>
      <c r="Q20" s="823"/>
      <c r="R20" s="556"/>
      <c r="S20" s="551"/>
      <c r="T20" s="551"/>
      <c r="U20" s="551"/>
      <c r="V20" s="552"/>
      <c r="W20" s="538"/>
      <c r="X20" s="557" t="str">
        <f>IF(AND(COUNTIF(($R20:$V20),"&gt;0")&gt;=2),1,IF(AND(COUNTIF(($R20:$V20),"&lt;0")&gt;=2),0,blanc))</f>
        <v xml:space="preserve"> </v>
      </c>
      <c r="Y20" s="554" t="str">
        <f>IF(AND(X20=0),1,IF(AND(X20=1),0,blanc))</f>
        <v xml:space="preserve"> </v>
      </c>
      <c r="Z20" s="558"/>
      <c r="AA20" s="555"/>
      <c r="AC20" s="283">
        <f>IF(AF9&lt;&gt;" ",AF9," ")</f>
        <v>1</v>
      </c>
      <c r="AD20" s="284">
        <f>IF(AF12&lt;&gt;" ",AF12," ")</f>
        <v>4</v>
      </c>
      <c r="AE20" s="285" t="str">
        <f t="shared" ref="AE20:AE25" si="4">IF(AK20&lt;&gt;0,IF(BI20&lt;0,AD20,AC20),IF(BI20=2,AC20,IF(BI20=-2,AD20," ")))</f>
        <v xml:space="preserve"> </v>
      </c>
      <c r="AF20" s="286">
        <f t="shared" ref="AF20:AF25" si="5">IF(R16=0,0,IF(R16&lt;0,-R16,IF(R16&lt;10,11,R16+2)))</f>
        <v>0</v>
      </c>
      <c r="AG20" s="287">
        <f t="shared" ref="AG20:AG25" si="6">IF(R16=0,0,IF(R16&gt;0,R16,IF(R16&gt;-10,11,-R16+2)))</f>
        <v>0</v>
      </c>
      <c r="AH20" s="284">
        <f t="shared" ref="AH20:AH25" si="7">IF(S16=0,0,IF(S16&lt;0,-S16,IF(S16&lt;10,11,S16+2)))</f>
        <v>0</v>
      </c>
      <c r="AI20" s="287">
        <f t="shared" ref="AI20:AI25" si="8">IF(S16=0,0,IF(S16&gt;0,S16,IF(S16&gt;-10,11,-S16+2)))</f>
        <v>0</v>
      </c>
      <c r="AJ20" s="288">
        <f t="shared" ref="AJ20:AJ25" si="9">IF(T16=0,0,IF(T16&lt;0,-T16,IF(T16&lt;10,11,T16+2)))</f>
        <v>0</v>
      </c>
      <c r="AK20" s="287">
        <f t="shared" ref="AK20:AK25" si="10">IF(T16=0,0,IF(T16&gt;0,T16,IF(T16&gt;-10,11,-T16+2)))</f>
        <v>0</v>
      </c>
      <c r="AL20" s="288">
        <f t="shared" ref="AL20:AL25" si="11">IF(U16=0,0,IF(U16&lt;0,-U16,IF(U16&lt;10,11,U16+2)))</f>
        <v>0</v>
      </c>
      <c r="AM20" s="287">
        <f t="shared" ref="AM20:AM25" si="12">IF(U16=0,0,IF(U16&gt;0,U16,IF(U16&gt;-10,11,-U16+2)))</f>
        <v>0</v>
      </c>
      <c r="AN20" s="288">
        <f t="shared" ref="AN20:AN25" si="13">IF(V16=0,0,IF(V16&lt;0,-V16,IF(V16&lt;10,11,V16+2)))</f>
        <v>0</v>
      </c>
      <c r="AO20" s="289">
        <f t="shared" ref="AO20:AO25" si="14">IF(V16=0,0,IF(V16&gt;0,V16,IF(V16&gt;-10,11,-V16+2)))</f>
        <v>0</v>
      </c>
      <c r="AP20" s="290">
        <f>IF(BI20&gt;0,1,0)</f>
        <v>0</v>
      </c>
      <c r="AR20" s="291"/>
      <c r="AS20" s="290">
        <f>IF(BI20&lt;0,1,0)</f>
        <v>0</v>
      </c>
      <c r="AT20" s="292"/>
      <c r="AU20" s="252"/>
      <c r="AV20" s="236"/>
      <c r="AW20" s="236"/>
      <c r="AX20" s="236"/>
      <c r="AY20" s="293">
        <f>IF(BI20&gt;0,1,0)</f>
        <v>0</v>
      </c>
      <c r="BA20" s="294"/>
      <c r="BB20" s="295">
        <f>IF(BI20&lt;0,1,0)</f>
        <v>0</v>
      </c>
      <c r="BC20" s="296">
        <f t="shared" ref="BC20:BC25" si="15">IF(AF20&lt;&gt;0,IF(AF20&gt;AG20,1,-1),0)</f>
        <v>0</v>
      </c>
      <c r="BD20" s="296">
        <f t="shared" ref="BD20:BD25" si="16">IF(AH20&lt;&gt;0,IF(AH20&gt;AI20,1,-1),0)</f>
        <v>0</v>
      </c>
      <c r="BE20" s="296">
        <f t="shared" ref="BE20:BE25" si="17">IF(AJ20&lt;&gt;0,IF(AJ20&gt;AK20,1,-1),0)</f>
        <v>0</v>
      </c>
      <c r="BF20" s="296">
        <f t="shared" ref="BF20:BF25" si="18">IF(AL20&lt;&gt;0,IF(AL20&gt;AM20,1,-1),0)</f>
        <v>0</v>
      </c>
      <c r="BG20" s="296">
        <f t="shared" ref="BG20:BG25" si="19">IF(AN20&lt;&gt;0,IF(AN20&gt;AO20,1,-1),0)</f>
        <v>0</v>
      </c>
      <c r="BH20" s="296" t="str">
        <f t="shared" ref="BH20:BH25" si="20">IF(BM20=0,"M",IF(BI20&gt;0,3,IF(BI20=0,"N",3+BI20)))</f>
        <v>M</v>
      </c>
      <c r="BI20" s="296">
        <f t="shared" ref="BI20:BI25" si="21">SUM(BC20:BG20)</f>
        <v>0</v>
      </c>
      <c r="BJ20" s="296"/>
      <c r="BK20" s="296"/>
      <c r="BL20" s="296" t="e">
        <f t="shared" ref="BL20:BL25" si="22">BM20-BH20</f>
        <v>#VALUE!</v>
      </c>
      <c r="BM20" s="296">
        <f t="shared" ref="BM20:BM25" si="23">ABS(BC20)+ABS(BD20)+ABS(BE20)+ABS(BF20)+ABS(BG20)</f>
        <v>0</v>
      </c>
      <c r="BN20" s="296"/>
      <c r="BO20" s="297"/>
      <c r="BQ20" s="268"/>
      <c r="BR20" s="248"/>
      <c r="BS20" s="237" t="str">
        <f>AE11</f>
        <v>C</v>
      </c>
      <c r="BT20" s="237" t="e">
        <f>BY18</f>
        <v>#VALUE!</v>
      </c>
      <c r="BU20" s="237" t="str">
        <f>BX18</f>
        <v>M</v>
      </c>
      <c r="BV20" s="237" t="e">
        <f>BY19</f>
        <v>#VALUE!</v>
      </c>
      <c r="BW20" s="237" t="str">
        <f>BX19</f>
        <v>M</v>
      </c>
      <c r="BX20" s="269"/>
      <c r="BY20" s="269"/>
      <c r="BZ20" s="237" t="str">
        <f>BH25</f>
        <v>M</v>
      </c>
      <c r="CA20" s="270" t="e">
        <f>BL25</f>
        <v>#VALUE!</v>
      </c>
      <c r="CB20" s="248"/>
      <c r="CC20" s="248"/>
      <c r="CD20" s="271"/>
      <c r="CE20" s="271"/>
      <c r="CF20" s="249" t="e">
        <f t="shared" si="2"/>
        <v>#VALUE!</v>
      </c>
      <c r="CG20" s="242" t="e">
        <f t="shared" si="3"/>
        <v>#VALUE!</v>
      </c>
      <c r="CH20" s="237" t="e">
        <f>IF(BT20&gt;BU20,1,0)</f>
        <v>#VALUE!</v>
      </c>
      <c r="CI20" s="237" t="e">
        <f>IF(BV20&gt;BW20,1,0)</f>
        <v>#VALUE!</v>
      </c>
      <c r="CJ20" s="237" t="e">
        <f>IF(BZ20&gt;CA20,1,0)</f>
        <v>#VALUE!</v>
      </c>
      <c r="CK20" s="237">
        <f>IF(CB20&gt;CC20,1,0)</f>
        <v>0</v>
      </c>
      <c r="CL20" s="237">
        <f>IF(CD20&gt;CE20,1,0)</f>
        <v>0</v>
      </c>
      <c r="CM20" s="272" t="e">
        <f>IF(BT20&lt;BU20,1,0)</f>
        <v>#VALUE!</v>
      </c>
      <c r="CN20" s="237" t="e">
        <f>IF(BV20&lt;BW20,1,0)</f>
        <v>#VALUE!</v>
      </c>
      <c r="CO20" s="237" t="e">
        <f>IF(BZ20&lt;CA20,1,0)</f>
        <v>#VALUE!</v>
      </c>
      <c r="CP20" s="237">
        <f>IF(CB20&lt;CC20,1,0)</f>
        <v>0</v>
      </c>
      <c r="CQ20" s="237">
        <f>IF(CD20&lt;CE20,1,0)</f>
        <v>0</v>
      </c>
      <c r="CR20" s="237" t="s">
        <v>36</v>
      </c>
      <c r="CS20" s="239" t="e">
        <f>IF(CF20=CF18,BA22,"xxx")</f>
        <v>#VALUE!</v>
      </c>
      <c r="CT20" s="239" t="e">
        <f>IF(CF20=CF19,BA21,"xxx")</f>
        <v>#VALUE!</v>
      </c>
      <c r="CU20" s="273" t="s">
        <v>53</v>
      </c>
      <c r="CV20" s="239" t="e">
        <f>IF(CF20=CF21,BA25,"xxx")</f>
        <v>#VALUE!</v>
      </c>
      <c r="CW20" s="274"/>
      <c r="CX20" s="249" t="e">
        <f>SUM(CS20:CW20)</f>
        <v>#VALUE!</v>
      </c>
      <c r="CY20" s="237" t="s">
        <v>36</v>
      </c>
      <c r="CZ20" s="239" t="e">
        <f>IF(CF20=CF18,AY22,"xxx")</f>
        <v>#VALUE!</v>
      </c>
      <c r="DA20" s="239" t="e">
        <f>IF(CF20=CF19,AZ21,"xxx")</f>
        <v>#VALUE!</v>
      </c>
      <c r="DB20" s="273" t="s">
        <v>53</v>
      </c>
      <c r="DC20" s="239" t="e">
        <f>IF(CF20=CF21,BB25,"xxx")</f>
        <v>#VALUE!</v>
      </c>
      <c r="DD20" s="274"/>
      <c r="DE20" s="249" t="e">
        <f>SUM(CZ20:DD20)</f>
        <v>#VALUE!</v>
      </c>
      <c r="DF20" s="237" t="s">
        <v>36</v>
      </c>
      <c r="DG20" s="239" t="e">
        <f>IF(AND(BA11&lt;&gt;0,AY11=AY9),IF(BA11=BA9,BA22,"xxx"),"xxx")</f>
        <v>#VALUE!</v>
      </c>
      <c r="DH20" s="239" t="e">
        <f>IF(AND(BA11&lt;&gt;0,AY11=AY10),IF(BA11=BA10,BA21,"xxx"),"xxx")</f>
        <v>#VALUE!</v>
      </c>
      <c r="DI20" s="273" t="s">
        <v>53</v>
      </c>
      <c r="DJ20" s="239" t="e">
        <f>IF(AND(BA11&lt;&gt;0,AY11=AY12),IF(BA11=BA12,BA25,"xxx"),"xxx")</f>
        <v>#VALUE!</v>
      </c>
      <c r="DK20" s="274"/>
      <c r="DL20" s="249" t="e">
        <f>SUM(DG20:DK20)</f>
        <v>#VALUE!</v>
      </c>
      <c r="DM20" s="237" t="s">
        <v>36</v>
      </c>
      <c r="DN20" s="239" t="e">
        <f>IF(AND(BA11&lt;&gt;0,AY11=AY9),IF(BA11=BA9,AY22,"xxx"),"xxx")</f>
        <v>#VALUE!</v>
      </c>
      <c r="DO20" s="239" t="e">
        <f>IF(AND(BA11&lt;&gt;0,AY11=AY10),IF(BA11=BA10,AZ21,"xxx"),"xxx")</f>
        <v>#VALUE!</v>
      </c>
      <c r="DP20" s="273" t="s">
        <v>53</v>
      </c>
      <c r="DQ20" s="239" t="e">
        <f>IF(AND(BA11&lt;&gt;0,AY11=AY12),IF(BA11=BA12,BB25,"xxx"),"xxx")</f>
        <v>#VALUE!</v>
      </c>
      <c r="DR20" s="274"/>
      <c r="DS20" s="249" t="e">
        <f>SUM(DN20:DR20)</f>
        <v>#VALUE!</v>
      </c>
      <c r="DT20" s="237" t="s">
        <v>36</v>
      </c>
      <c r="DU20" s="239" t="e">
        <f>IF(AND(CF20=CF18,BA11=BA9),BL22,"kkk")</f>
        <v>#VALUE!</v>
      </c>
      <c r="DV20" s="239" t="e">
        <f>IF(AND(CF20=CF19,BA11=BA10),BL21,"kkk")</f>
        <v>#VALUE!</v>
      </c>
      <c r="DW20" s="273" t="s">
        <v>53</v>
      </c>
      <c r="DX20" s="239" t="e">
        <f>IF(AND(CF20=CF21,BA11=BA12),BH25,"kkk")</f>
        <v>#VALUE!</v>
      </c>
      <c r="DY20" s="274"/>
      <c r="DZ20" s="249" t="e">
        <f>SUM(DU20:DY20)</f>
        <v>#VALUE!</v>
      </c>
      <c r="EA20" s="237" t="s">
        <v>36</v>
      </c>
      <c r="EB20" s="239" t="e">
        <f>IF(AND(CF20=CF18,BA11=BA9),BH22,"kkk")</f>
        <v>#VALUE!</v>
      </c>
      <c r="EC20" s="239" t="e">
        <f>IF(AND(CF20=CF19,BA11=BA10),BH21,"kkk")</f>
        <v>#VALUE!</v>
      </c>
      <c r="ED20" s="273" t="s">
        <v>53</v>
      </c>
      <c r="EE20" s="239" t="e">
        <f>IF(AND(CF20=CF21,BA11=BA12),BL25,"kkk")</f>
        <v>#VALUE!</v>
      </c>
      <c r="EF20" s="274"/>
      <c r="EG20" s="249" t="e">
        <f>SUM(EB20:EF20)</f>
        <v>#VALUE!</v>
      </c>
      <c r="EH20" s="237" t="s">
        <v>36</v>
      </c>
      <c r="EI20" s="239" t="e">
        <f>IF(BD11&lt;&gt;"ùùù",IF(AND(CF20=CF18,BD11=BD9),BL22,"kkk"),"kkk")</f>
        <v>#VALUE!</v>
      </c>
      <c r="EJ20" s="239" t="e">
        <f>IF(BD11&lt;&gt;"ùùù",IF(AND(CF20=CF19,BD11=BD10),BL21,"kkk"),"kkk")</f>
        <v>#VALUE!</v>
      </c>
      <c r="EK20" s="273" t="s">
        <v>53</v>
      </c>
      <c r="EL20" s="239" t="e">
        <f>IF(BD11&lt;&gt;"ùùù",IF(AND(CF20=CF21,BD11=BD12),BH25,"kkk"),"kkk")</f>
        <v>#VALUE!</v>
      </c>
      <c r="EM20" s="274"/>
      <c r="EN20" s="249" t="e">
        <f>SUM(EI20:EM20)</f>
        <v>#VALUE!</v>
      </c>
      <c r="EO20" s="237" t="s">
        <v>36</v>
      </c>
      <c r="EP20" s="239" t="e">
        <f>IF(BD11&lt;&gt;"ùùù",IF(AND(CF20=CF18,BD11=BD9),BH22,"kkk"),"kkk")</f>
        <v>#VALUE!</v>
      </c>
      <c r="EQ20" s="239" t="e">
        <f>IF(BD11&lt;&gt;"ùùù",IF(AND(CF20=CF19,BD11=BD10),BH21,"kkk"),"kkk")</f>
        <v>#VALUE!</v>
      </c>
      <c r="ER20" s="273" t="s">
        <v>53</v>
      </c>
      <c r="ES20" s="239" t="e">
        <f>IF(BD11&lt;&gt;"ùùù",IF(AND(CF20=CF21,BD11=BD12),BL25,"kkk"),"kkk")</f>
        <v>#VALUE!</v>
      </c>
      <c r="ET20" s="274"/>
      <c r="EU20" s="249" t="e">
        <f>SUM(EP20:ET20)</f>
        <v>#VALUE!</v>
      </c>
      <c r="EV20" s="237" t="s">
        <v>36</v>
      </c>
      <c r="EW20" s="239" t="e">
        <f>IF(AND(CF20=CF18,BC11=BC9),+AG22+AI22+AK22+AM22+AO22,"xxx")</f>
        <v>#VALUE!</v>
      </c>
      <c r="EX20" s="239" t="e">
        <f>IF(AND(CF20=CF19,BC11=BC10),+AG21+AI21+AK21+AM21+AO21,"xxx")</f>
        <v>#VALUE!</v>
      </c>
      <c r="EY20" s="273" t="s">
        <v>53</v>
      </c>
      <c r="EZ20" s="239" t="e">
        <f>IF(AND(CF20=CF21,BC11=BC12),+AF25+AH25+AJ25+AL25+AN25,"xxx")</f>
        <v>#VALUE!</v>
      </c>
      <c r="FA20" s="274"/>
      <c r="FB20" s="249" t="e">
        <f>SUM(EW20:FA20)</f>
        <v>#VALUE!</v>
      </c>
      <c r="FC20" s="237" t="s">
        <v>36</v>
      </c>
      <c r="FD20" s="239" t="e">
        <f>IF(AND(CF20=CF18,BC11=BC9),+AF22+AH22+AJ22+AL22+AN22,"xxx")</f>
        <v>#VALUE!</v>
      </c>
      <c r="FE20" s="239" t="e">
        <f>IF(AND(CF20=CF19,BC11=BC10),+AF21+AH21+AJ21+AL21+AN21,"xxx")</f>
        <v>#VALUE!</v>
      </c>
      <c r="FF20" s="273" t="s">
        <v>53</v>
      </c>
      <c r="FG20" s="239" t="e">
        <f>IF(AND(CF20=CF21,BC11=BC12),+AG25+AI25+AK25+AM25+AO25,"xxx")</f>
        <v>#VALUE!</v>
      </c>
      <c r="FH20" s="274"/>
      <c r="FI20" s="249" t="e">
        <f>SUM(FD20:FH20)</f>
        <v>#VALUE!</v>
      </c>
      <c r="FJ20" s="236"/>
      <c r="FK20" s="236"/>
      <c r="FL20" s="236"/>
      <c r="FM20" s="236"/>
    </row>
    <row r="21" spans="1:169" ht="27.95" customHeight="1" thickBot="1" x14ac:dyDescent="0.25">
      <c r="A21" s="525">
        <v>3</v>
      </c>
      <c r="B21" s="560" t="s">
        <v>13</v>
      </c>
      <c r="C21" s="561">
        <v>4</v>
      </c>
      <c r="D21" s="562"/>
      <c r="E21" s="563">
        <f>E20+0.0205</f>
        <v>0.10450000000000001</v>
      </c>
      <c r="F21" s="564">
        <f>F16</f>
        <v>0</v>
      </c>
      <c r="G21" s="819" t="str">
        <f t="shared" si="0"/>
        <v xml:space="preserve">Maurice Loic </v>
      </c>
      <c r="H21" s="820"/>
      <c r="I21" s="820"/>
      <c r="J21" s="820"/>
      <c r="K21" s="820"/>
      <c r="L21" s="517" t="s">
        <v>9</v>
      </c>
      <c r="M21" s="820">
        <f t="shared" si="1"/>
        <v>0</v>
      </c>
      <c r="N21" s="820"/>
      <c r="O21" s="820"/>
      <c r="P21" s="820"/>
      <c r="Q21" s="824"/>
      <c r="R21" s="565"/>
      <c r="S21" s="566"/>
      <c r="T21" s="566"/>
      <c r="U21" s="566"/>
      <c r="V21" s="567"/>
      <c r="W21" s="538"/>
      <c r="X21" s="568"/>
      <c r="Y21" s="569"/>
      <c r="Z21" s="570" t="str">
        <f>IF(AND(COUNTIF(($R21:$V21),"&gt;0")&gt;=2),1,IF(AND(COUNTIF(($R21:$V21),"&lt;0")&gt;=2),0,blanc))</f>
        <v xml:space="preserve"> </v>
      </c>
      <c r="AA21" s="571" t="str">
        <f>IF(AND(Z21=0),1,IF(AND(Z21=1),0,blanc))</f>
        <v xml:space="preserve"> </v>
      </c>
      <c r="AC21" s="298">
        <f>IF(AF10&lt;&gt;" ",AF10," ")</f>
        <v>2</v>
      </c>
      <c r="AD21" s="299">
        <f>IF(AF11&lt;&gt;" ",AF11," ")</f>
        <v>3</v>
      </c>
      <c r="AE21" s="300" t="str">
        <f t="shared" si="4"/>
        <v xml:space="preserve"> </v>
      </c>
      <c r="AF21" s="286">
        <f t="shared" si="5"/>
        <v>0</v>
      </c>
      <c r="AG21" s="287">
        <f t="shared" si="6"/>
        <v>0</v>
      </c>
      <c r="AH21" s="284">
        <f t="shared" si="7"/>
        <v>0</v>
      </c>
      <c r="AI21" s="287">
        <f t="shared" si="8"/>
        <v>0</v>
      </c>
      <c r="AJ21" s="288">
        <f t="shared" si="9"/>
        <v>0</v>
      </c>
      <c r="AK21" s="287">
        <f t="shared" si="10"/>
        <v>0</v>
      </c>
      <c r="AL21" s="288">
        <f t="shared" si="11"/>
        <v>0</v>
      </c>
      <c r="AM21" s="287">
        <f t="shared" si="12"/>
        <v>0</v>
      </c>
      <c r="AN21" s="288">
        <f t="shared" si="13"/>
        <v>0</v>
      </c>
      <c r="AO21" s="289">
        <f t="shared" si="14"/>
        <v>0</v>
      </c>
      <c r="AP21" s="301"/>
      <c r="AQ21" s="302">
        <f>IF(BI21&gt;0,1,0)</f>
        <v>0</v>
      </c>
      <c r="AR21" s="302">
        <f>IF(BI21&lt;0,1,0)</f>
        <v>0</v>
      </c>
      <c r="AT21" s="303"/>
      <c r="AU21" s="252"/>
      <c r="AV21" s="236"/>
      <c r="AW21" s="236"/>
      <c r="AX21" s="236"/>
      <c r="AY21" s="304"/>
      <c r="AZ21" s="305">
        <f>IF(BI21&gt;0,1,0)</f>
        <v>0</v>
      </c>
      <c r="BA21" s="305">
        <f>IF(BI21&lt;0,1,0)</f>
        <v>0</v>
      </c>
      <c r="BB21" s="306"/>
      <c r="BC21" s="239">
        <f t="shared" si="15"/>
        <v>0</v>
      </c>
      <c r="BD21" s="239">
        <f t="shared" si="16"/>
        <v>0</v>
      </c>
      <c r="BE21" s="239">
        <f t="shared" si="17"/>
        <v>0</v>
      </c>
      <c r="BF21" s="239">
        <f t="shared" si="18"/>
        <v>0</v>
      </c>
      <c r="BG21" s="239">
        <f t="shared" si="19"/>
        <v>0</v>
      </c>
      <c r="BH21" s="239" t="str">
        <f t="shared" si="20"/>
        <v>M</v>
      </c>
      <c r="BI21" s="239">
        <f t="shared" si="21"/>
        <v>0</v>
      </c>
      <c r="BJ21" s="239"/>
      <c r="BK21" s="239"/>
      <c r="BL21" s="239" t="e">
        <f t="shared" si="22"/>
        <v>#VALUE!</v>
      </c>
      <c r="BM21" s="239">
        <f t="shared" si="23"/>
        <v>0</v>
      </c>
      <c r="BN21" s="239"/>
      <c r="BO21" s="282"/>
      <c r="BQ21" s="268"/>
      <c r="BR21" s="248"/>
      <c r="BS21" s="237" t="str">
        <f>AE12</f>
        <v>D</v>
      </c>
      <c r="BT21" s="237" t="e">
        <f>CA18</f>
        <v>#VALUE!</v>
      </c>
      <c r="BU21" s="237" t="str">
        <f>BZ18</f>
        <v>M</v>
      </c>
      <c r="BV21" s="237" t="e">
        <f>CA19</f>
        <v>#VALUE!</v>
      </c>
      <c r="BW21" s="237" t="str">
        <f>BZ19</f>
        <v>M</v>
      </c>
      <c r="BX21" s="237" t="e">
        <f>CA20</f>
        <v>#VALUE!</v>
      </c>
      <c r="BY21" s="237" t="str">
        <f>BZ20</f>
        <v>M</v>
      </c>
      <c r="BZ21" s="269"/>
      <c r="CA21" s="307"/>
      <c r="CB21" s="248"/>
      <c r="CC21" s="248"/>
      <c r="CD21" s="271"/>
      <c r="CE21" s="271"/>
      <c r="CF21" s="249" t="e">
        <f t="shared" si="2"/>
        <v>#VALUE!</v>
      </c>
      <c r="CG21" s="242" t="e">
        <f t="shared" si="3"/>
        <v>#VALUE!</v>
      </c>
      <c r="CH21" s="308" t="e">
        <f>IF(BT21&gt;BU21,1,0)</f>
        <v>#VALUE!</v>
      </c>
      <c r="CI21" s="308" t="e">
        <f>IF(BV21&gt;BW21,1,0)</f>
        <v>#VALUE!</v>
      </c>
      <c r="CJ21" s="308" t="e">
        <f>IF(BX21&gt;BY21,1,0)</f>
        <v>#VALUE!</v>
      </c>
      <c r="CK21" s="308">
        <f>IF(CB21&gt;CC21,1,0)</f>
        <v>0</v>
      </c>
      <c r="CL21" s="308">
        <f>IF(CD21&gt;CE21,1,0)</f>
        <v>0</v>
      </c>
      <c r="CM21" s="309" t="e">
        <f>IF(BT21&lt;BU21,1,0)</f>
        <v>#VALUE!</v>
      </c>
      <c r="CN21" s="308" t="e">
        <f>IF(BV21&lt;BW21,1,0)</f>
        <v>#VALUE!</v>
      </c>
      <c r="CO21" s="308" t="e">
        <f>IF(BX21&lt;BY21,1,0)</f>
        <v>#VALUE!</v>
      </c>
      <c r="CP21" s="308">
        <f>IF(CB21&lt;CC21,1,0)</f>
        <v>0</v>
      </c>
      <c r="CQ21" s="308">
        <f>IF(CD21&lt;CE21,1,0)</f>
        <v>0</v>
      </c>
      <c r="CR21" s="308" t="s">
        <v>61</v>
      </c>
      <c r="CS21" s="277" t="e">
        <f>IF(CF21=CF18,BB20,"xxx")</f>
        <v>#VALUE!</v>
      </c>
      <c r="CT21" s="277" t="e">
        <f>IF(CF21=CF19,BB23,"xxx")</f>
        <v>#VALUE!</v>
      </c>
      <c r="CU21" s="277" t="e">
        <f>IF(CF21=CF20,BB25,"xxx")</f>
        <v>#VALUE!</v>
      </c>
      <c r="CV21" s="310" t="s">
        <v>53</v>
      </c>
      <c r="CW21" s="311"/>
      <c r="CX21" s="249" t="e">
        <f>SUM(CS21:CW21)</f>
        <v>#VALUE!</v>
      </c>
      <c r="CY21" s="308" t="s">
        <v>61</v>
      </c>
      <c r="CZ21" s="277" t="e">
        <f>IF(CF21=CF18,AY20,"xxx")</f>
        <v>#VALUE!</v>
      </c>
      <c r="DA21" s="277" t="e">
        <f>IF(CF21=CF19,AZ23,"xxx")</f>
        <v>#VALUE!</v>
      </c>
      <c r="DB21" s="277" t="e">
        <f>IF(CF21=CF20,BA25,"xxx")</f>
        <v>#VALUE!</v>
      </c>
      <c r="DC21" s="310" t="s">
        <v>53</v>
      </c>
      <c r="DD21" s="311"/>
      <c r="DE21" s="312" t="e">
        <f>SUM(CZ21:DD21)</f>
        <v>#VALUE!</v>
      </c>
      <c r="DF21" s="308" t="s">
        <v>61</v>
      </c>
      <c r="DG21" s="277" t="e">
        <f>IF(AND(BA12&lt;&gt;0,AY12=AY9),IF(BA12=BA9,BB20,"xxx"),"xxx")</f>
        <v>#VALUE!</v>
      </c>
      <c r="DH21" s="277" t="e">
        <f>IF(AND(BA12&lt;&gt;0,AY12=AY10),IF(BA12=BA10,BB23,"xxx"),"xxx")</f>
        <v>#VALUE!</v>
      </c>
      <c r="DI21" s="277" t="e">
        <f>IF(AND(BA12&lt;&gt;0,AY12=AY11),IF(BA12=BA11,BB25,"xxx"),"xxx")</f>
        <v>#VALUE!</v>
      </c>
      <c r="DJ21" s="310" t="s">
        <v>53</v>
      </c>
      <c r="DK21" s="311"/>
      <c r="DL21" s="249" t="e">
        <f>SUM(DG21:DK21)</f>
        <v>#VALUE!</v>
      </c>
      <c r="DM21" s="308" t="s">
        <v>61</v>
      </c>
      <c r="DN21" s="277" t="e">
        <f>IF(AND(BA12&lt;&gt;0,AY12=AY9),IF(BA12=BA9,AY20,"xxx"),"xxx")</f>
        <v>#VALUE!</v>
      </c>
      <c r="DO21" s="277" t="e">
        <f>IF(AND(BA12&lt;&gt;0,AY12=AY10),IF(BA12=BA10,AZ23,"xxx"),"xxx")</f>
        <v>#VALUE!</v>
      </c>
      <c r="DP21" s="277" t="e">
        <f>IF(AND(BA12&lt;&gt;0,AY12=AY11),IF(BA12=BA11,BA25,"xxx"),"xxx")</f>
        <v>#VALUE!</v>
      </c>
      <c r="DQ21" s="310" t="s">
        <v>53</v>
      </c>
      <c r="DR21" s="311"/>
      <c r="DS21" s="249" t="e">
        <f>SUM(DN21:DR21)</f>
        <v>#VALUE!</v>
      </c>
      <c r="DT21" s="308" t="s">
        <v>61</v>
      </c>
      <c r="DU21" s="277" t="e">
        <f>IF(AND(CF21=CF18,BA12=BA9),BL20,"kkk")</f>
        <v>#VALUE!</v>
      </c>
      <c r="DV21" s="277" t="e">
        <f>IF(AND(CF21=CF19,BA12=BA10),BL23,"kkk")</f>
        <v>#VALUE!</v>
      </c>
      <c r="DW21" s="277" t="e">
        <f>IF(AND(CF21=CF20,BA12=BA11),BL25,"kkk")</f>
        <v>#VALUE!</v>
      </c>
      <c r="DX21" s="310" t="s">
        <v>53</v>
      </c>
      <c r="DY21" s="311"/>
      <c r="DZ21" s="249" t="e">
        <f>SUM(DU21:DY21)</f>
        <v>#VALUE!</v>
      </c>
      <c r="EA21" s="308" t="s">
        <v>61</v>
      </c>
      <c r="EB21" s="277" t="e">
        <f>IF(AND(CF21=CF18,BA12=BA9),BH20,"kkk")</f>
        <v>#VALUE!</v>
      </c>
      <c r="EC21" s="277" t="e">
        <f>IF(AND(CF21=CF19,BA12=BA10),BH23,"kkk")</f>
        <v>#VALUE!</v>
      </c>
      <c r="ED21" s="277" t="e">
        <f>IF(AND(CF21=CF20,BA12=BA11),BH25,"kkk")</f>
        <v>#VALUE!</v>
      </c>
      <c r="EE21" s="310" t="s">
        <v>53</v>
      </c>
      <c r="EF21" s="311"/>
      <c r="EG21" s="249" t="e">
        <f>SUM(EB21:EF21)</f>
        <v>#VALUE!</v>
      </c>
      <c r="EH21" s="308" t="s">
        <v>61</v>
      </c>
      <c r="EI21" s="277" t="e">
        <f>IF(BD12&lt;&gt;"ùùù",IF(AND(CF21=CF18,BD12=BD9),BL20,"kkk"),"kkk")</f>
        <v>#VALUE!</v>
      </c>
      <c r="EJ21" s="277" t="e">
        <f>IF(BD12&lt;&gt;"ùùù",IF(AND(CF21=CF19,BD12=BD10),BL23,"kkk"),"kkk")</f>
        <v>#VALUE!</v>
      </c>
      <c r="EK21" s="277" t="e">
        <f>IF(BD12&lt;&gt;"ùùù",IF(AND(CF21=CF20,BD12=BD11),BL25,"kkk"),"kkk")</f>
        <v>#VALUE!</v>
      </c>
      <c r="EL21" s="310" t="s">
        <v>53</v>
      </c>
      <c r="EM21" s="311"/>
      <c r="EN21" s="249" t="e">
        <f>SUM(EI21:EM21)</f>
        <v>#VALUE!</v>
      </c>
      <c r="EO21" s="308" t="s">
        <v>61</v>
      </c>
      <c r="EP21" s="277" t="e">
        <f>IF(BD12&lt;&gt;"ùùù",IF(AND(CF21=CF18,BD12=BD9),BH20,"kkk"),"kkk")</f>
        <v>#VALUE!</v>
      </c>
      <c r="EQ21" s="277" t="e">
        <f>IF(BD12&lt;&gt;"ùùù",IF(AND(CF21=CF19,BD12=BD10),BH23,"kkk"),"kkk")</f>
        <v>#VALUE!</v>
      </c>
      <c r="ER21" s="277" t="e">
        <f>IF(BD12&lt;&gt;"ùùù",IF(AND(CF21=CF20,BD12=BD11),BH25,"kkk"),"kkk")</f>
        <v>#VALUE!</v>
      </c>
      <c r="ES21" s="310" t="s">
        <v>53</v>
      </c>
      <c r="ET21" s="311"/>
      <c r="EU21" s="249" t="e">
        <f>SUM(EP21:ET21)</f>
        <v>#VALUE!</v>
      </c>
      <c r="EV21" s="308" t="s">
        <v>61</v>
      </c>
      <c r="EW21" s="277" t="e">
        <f>IF(AND(CF21=CF18,BC12=BC9),+AG20+AI20+AK20+AM20+AO20,"xxx")</f>
        <v>#VALUE!</v>
      </c>
      <c r="EX21" s="277" t="e">
        <f>IF(AND(CF21=CF19,BC12=BC10),+AG23+AI23+AK23+AM23+AO23,"xxx")</f>
        <v>#VALUE!</v>
      </c>
      <c r="EY21" s="277" t="e">
        <f>IF(AND(CF21=CF20,BC11=BC12),+AG25+AI25+AK25+AM25+AO25,"xxx")</f>
        <v>#VALUE!</v>
      </c>
      <c r="EZ21" s="310" t="s">
        <v>53</v>
      </c>
      <c r="FA21" s="311"/>
      <c r="FB21" s="249" t="e">
        <f>SUM(EW21:FA21)</f>
        <v>#VALUE!</v>
      </c>
      <c r="FC21" s="308" t="s">
        <v>61</v>
      </c>
      <c r="FD21" s="277" t="e">
        <f>IF(AND(CF21=CF18,BC12=BC9),+AF20+AH20+AJ20+AL20+AN20,"xxx")</f>
        <v>#VALUE!</v>
      </c>
      <c r="FE21" s="277" t="e">
        <f>IF(AND(CF21=CF19,BC12=BC10),+AF23+AH23+AJ23+AL23+AN23,"xxx")</f>
        <v>#VALUE!</v>
      </c>
      <c r="FF21" s="277" t="e">
        <f>IF(AND(CF21=CF20,BC12=BC11),+AF25+AH25+AJ25+AL25+AN25,"xxx")</f>
        <v>#VALUE!</v>
      </c>
      <c r="FG21" s="310" t="s">
        <v>53</v>
      </c>
      <c r="FH21" s="311"/>
      <c r="FI21" s="249" t="e">
        <f>SUM(FD21:FH21)</f>
        <v>#VALUE!</v>
      </c>
      <c r="FJ21" s="236"/>
      <c r="FK21" s="236"/>
      <c r="FL21" s="236"/>
      <c r="FM21" s="236"/>
    </row>
    <row r="22" spans="1:169" ht="21.95" customHeight="1" x14ac:dyDescent="0.2">
      <c r="A22" s="503"/>
      <c r="B22" s="503"/>
      <c r="C22" s="502"/>
      <c r="D22" s="502"/>
      <c r="E22" s="502"/>
      <c r="F22" s="502"/>
      <c r="G22" s="503"/>
      <c r="H22" s="506"/>
      <c r="I22" s="506"/>
      <c r="J22" s="506"/>
      <c r="K22" s="506"/>
      <c r="L22" s="572">
        <v>6</v>
      </c>
      <c r="M22" s="511"/>
      <c r="N22" s="572" t="s">
        <v>3</v>
      </c>
      <c r="O22" s="874" t="s">
        <v>17</v>
      </c>
      <c r="P22" s="875"/>
      <c r="Q22" s="875"/>
      <c r="R22" s="875"/>
      <c r="S22" s="875"/>
      <c r="T22" s="875"/>
      <c r="U22" s="875"/>
      <c r="V22" s="876"/>
      <c r="W22" s="573"/>
      <c r="X22" s="574" t="str">
        <f>IF($R$16="","",SUM(X16:X21))</f>
        <v/>
      </c>
      <c r="Y22" s="575" t="str">
        <f>IF($R$16="","",SUM(Y16:Y21))</f>
        <v/>
      </c>
      <c r="Z22" s="575" t="str">
        <f>IF($R$16="","",SUM(Z16:Z21))</f>
        <v/>
      </c>
      <c r="AA22" s="576" t="str">
        <f>IF($R$16="","",SUM(AA16:AA21))</f>
        <v/>
      </c>
      <c r="AB22" s="601">
        <f>SUM(X22:AA22)</f>
        <v>0</v>
      </c>
      <c r="AC22" s="298">
        <f>IF(AF9&lt;&gt;" ",AF9," ")</f>
        <v>1</v>
      </c>
      <c r="AD22" s="299">
        <f>IF(AF11&lt;&gt;" ",AF11," ")</f>
        <v>3</v>
      </c>
      <c r="AE22" s="300" t="str">
        <f t="shared" si="4"/>
        <v xml:space="preserve"> </v>
      </c>
      <c r="AF22" s="286">
        <f t="shared" si="5"/>
        <v>0</v>
      </c>
      <c r="AG22" s="287">
        <f t="shared" si="6"/>
        <v>0</v>
      </c>
      <c r="AH22" s="284">
        <f t="shared" si="7"/>
        <v>0</v>
      </c>
      <c r="AI22" s="287">
        <f t="shared" si="8"/>
        <v>0</v>
      </c>
      <c r="AJ22" s="288">
        <f t="shared" si="9"/>
        <v>0</v>
      </c>
      <c r="AK22" s="287">
        <f t="shared" si="10"/>
        <v>0</v>
      </c>
      <c r="AL22" s="288">
        <f t="shared" si="11"/>
        <v>0</v>
      </c>
      <c r="AM22" s="287">
        <f t="shared" si="12"/>
        <v>0</v>
      </c>
      <c r="AN22" s="288">
        <f t="shared" si="13"/>
        <v>0</v>
      </c>
      <c r="AO22" s="289">
        <f t="shared" si="14"/>
        <v>0</v>
      </c>
      <c r="AP22" s="313">
        <f>IF(BI22&gt;0,1,0)</f>
        <v>0</v>
      </c>
      <c r="AQ22" s="314"/>
      <c r="AR22" s="315">
        <f>IF(BI22&lt;0,1,0)</f>
        <v>0</v>
      </c>
      <c r="AS22" s="316"/>
      <c r="AT22" s="292"/>
      <c r="AU22" s="252"/>
      <c r="AV22" s="236"/>
      <c r="AW22" s="236"/>
      <c r="AX22" s="236"/>
      <c r="AY22" s="317">
        <f>IF(BI22&gt;0,1,0)</f>
        <v>0</v>
      </c>
      <c r="AZ22" s="318"/>
      <c r="BA22" s="305">
        <f>IF(BI22&lt;0,1,0)</f>
        <v>0</v>
      </c>
      <c r="BB22" s="319"/>
      <c r="BC22" s="239">
        <f t="shared" si="15"/>
        <v>0</v>
      </c>
      <c r="BD22" s="239">
        <f t="shared" si="16"/>
        <v>0</v>
      </c>
      <c r="BE22" s="239">
        <f t="shared" si="17"/>
        <v>0</v>
      </c>
      <c r="BF22" s="239">
        <f t="shared" si="18"/>
        <v>0</v>
      </c>
      <c r="BG22" s="239">
        <f t="shared" si="19"/>
        <v>0</v>
      </c>
      <c r="BH22" s="239" t="str">
        <f t="shared" si="20"/>
        <v>M</v>
      </c>
      <c r="BI22" s="239">
        <f t="shared" si="21"/>
        <v>0</v>
      </c>
      <c r="BJ22" s="239"/>
      <c r="BK22" s="239"/>
      <c r="BL22" s="239" t="e">
        <f t="shared" si="22"/>
        <v>#VALUE!</v>
      </c>
      <c r="BM22" s="239">
        <f t="shared" si="23"/>
        <v>0</v>
      </c>
      <c r="BN22" s="239"/>
      <c r="BO22" s="282"/>
      <c r="BQ22" s="268"/>
      <c r="BR22" s="248"/>
      <c r="BS22" s="308">
        <f>AE13</f>
        <v>0</v>
      </c>
      <c r="BT22" s="308">
        <f>CC18</f>
        <v>0</v>
      </c>
      <c r="BU22" s="308">
        <f>CB18</f>
        <v>0</v>
      </c>
      <c r="BV22" s="308">
        <f>CC19</f>
        <v>0</v>
      </c>
      <c r="BW22" s="308">
        <f>CB19</f>
        <v>0</v>
      </c>
      <c r="BX22" s="308">
        <f>CC20</f>
        <v>0</v>
      </c>
      <c r="BY22" s="308">
        <f>CB20</f>
        <v>0</v>
      </c>
      <c r="BZ22" s="308">
        <f>CC21</f>
        <v>0</v>
      </c>
      <c r="CA22" s="320">
        <f>CB21</f>
        <v>0</v>
      </c>
      <c r="CB22" s="271"/>
      <c r="CC22" s="271"/>
      <c r="CD22" s="271"/>
      <c r="CE22" s="271"/>
      <c r="CF22" s="249">
        <f t="shared" si="2"/>
        <v>0</v>
      </c>
      <c r="CG22" s="242">
        <f t="shared" si="3"/>
        <v>0</v>
      </c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52"/>
      <c r="CT22" s="252"/>
      <c r="CU22" s="252"/>
      <c r="CV22" s="252"/>
      <c r="CW22" s="252"/>
      <c r="CX22" s="252"/>
      <c r="CY22" s="271"/>
      <c r="CZ22" s="252"/>
      <c r="DA22" s="252"/>
      <c r="DB22" s="252"/>
      <c r="DC22" s="252"/>
      <c r="DD22" s="252"/>
      <c r="DE22" s="252"/>
      <c r="DF22" s="271"/>
      <c r="DG22" s="252"/>
      <c r="DH22" s="252"/>
      <c r="DI22" s="252"/>
      <c r="DJ22" s="252"/>
      <c r="DK22" s="252"/>
      <c r="DL22" s="252"/>
      <c r="DM22" s="271"/>
      <c r="DN22" s="252"/>
      <c r="DO22" s="252"/>
      <c r="DP22" s="252"/>
      <c r="DQ22" s="252"/>
      <c r="DR22" s="252"/>
      <c r="DS22" s="252"/>
      <c r="DT22" s="271"/>
      <c r="DU22" s="252"/>
      <c r="DV22" s="252"/>
      <c r="DW22" s="252"/>
      <c r="DX22" s="252"/>
      <c r="DY22" s="252"/>
      <c r="DZ22" s="252"/>
      <c r="EA22" s="271"/>
      <c r="EB22" s="252"/>
      <c r="EC22" s="252"/>
      <c r="ED22" s="252"/>
      <c r="EE22" s="252"/>
      <c r="EF22" s="252"/>
      <c r="EG22" s="252"/>
      <c r="EH22" s="271"/>
      <c r="EI22" s="252"/>
      <c r="EJ22" s="252"/>
      <c r="EK22" s="252"/>
      <c r="EL22" s="252"/>
      <c r="EM22" s="252"/>
      <c r="EN22" s="252"/>
      <c r="EO22" s="271"/>
      <c r="EP22" s="252"/>
      <c r="EQ22" s="252"/>
      <c r="ER22" s="252"/>
      <c r="ES22" s="252"/>
      <c r="ET22" s="252"/>
      <c r="EU22" s="252"/>
      <c r="EV22" s="271"/>
      <c r="EW22" s="252"/>
      <c r="EX22" s="252"/>
      <c r="EY22" s="252"/>
      <c r="EZ22" s="252"/>
      <c r="FA22" s="252"/>
      <c r="FB22" s="252"/>
      <c r="FC22" s="271"/>
      <c r="FD22" s="252"/>
      <c r="FE22" s="252"/>
      <c r="FF22" s="252"/>
      <c r="FG22" s="252"/>
      <c r="FH22" s="252"/>
      <c r="FI22" s="252"/>
      <c r="FJ22" s="236"/>
      <c r="FK22" s="236"/>
      <c r="FL22" s="236"/>
      <c r="FM22" s="236"/>
    </row>
    <row r="23" spans="1:169" ht="21.95" customHeight="1" thickBot="1" x14ac:dyDescent="0.25">
      <c r="A23" s="503"/>
      <c r="B23" s="577" t="s">
        <v>4</v>
      </c>
      <c r="C23" s="503"/>
      <c r="D23" s="503"/>
      <c r="E23" s="503"/>
      <c r="F23" s="503"/>
      <c r="G23" s="503"/>
      <c r="H23" s="506"/>
      <c r="I23" s="506"/>
      <c r="J23" s="506"/>
      <c r="K23" s="578" t="s">
        <v>3</v>
      </c>
      <c r="L23" s="579"/>
      <c r="M23" s="580" t="str">
        <f>IF(AB23=AB22,K23,IF(AB23&gt;AB22,""))</f>
        <v/>
      </c>
      <c r="N23" s="506"/>
      <c r="O23" s="833" t="s">
        <v>18</v>
      </c>
      <c r="P23" s="834"/>
      <c r="Q23" s="834"/>
      <c r="R23" s="834"/>
      <c r="S23" s="834"/>
      <c r="T23" s="834"/>
      <c r="U23" s="834"/>
      <c r="V23" s="835"/>
      <c r="W23" s="573"/>
      <c r="X23" s="581" t="str">
        <f>IF(M23="OK",BK9,"")</f>
        <v/>
      </c>
      <c r="Y23" s="582" t="str">
        <f>IF(M23="OK",BK10,"")</f>
        <v/>
      </c>
      <c r="Z23" s="582" t="str">
        <f>IF(M23="OK",BK11,"")</f>
        <v/>
      </c>
      <c r="AA23" s="583" t="str">
        <f>IF(M23="OK",BK12,"")</f>
        <v/>
      </c>
      <c r="AB23" s="601">
        <v>6</v>
      </c>
      <c r="AC23" s="283">
        <f>IF(AF10&lt;&gt;" ",AF10," ")</f>
        <v>2</v>
      </c>
      <c r="AD23" s="284">
        <f>IF(AF12&lt;&gt;" ",AF12," ")</f>
        <v>4</v>
      </c>
      <c r="AE23" s="300" t="str">
        <f t="shared" si="4"/>
        <v xml:space="preserve"> </v>
      </c>
      <c r="AF23" s="286">
        <f t="shared" si="5"/>
        <v>0</v>
      </c>
      <c r="AG23" s="287">
        <f t="shared" si="6"/>
        <v>0</v>
      </c>
      <c r="AH23" s="284">
        <f t="shared" si="7"/>
        <v>0</v>
      </c>
      <c r="AI23" s="287">
        <f t="shared" si="8"/>
        <v>0</v>
      </c>
      <c r="AJ23" s="288">
        <f t="shared" si="9"/>
        <v>0</v>
      </c>
      <c r="AK23" s="287">
        <f t="shared" si="10"/>
        <v>0</v>
      </c>
      <c r="AL23" s="288">
        <f t="shared" si="11"/>
        <v>0</v>
      </c>
      <c r="AM23" s="287">
        <f t="shared" si="12"/>
        <v>0</v>
      </c>
      <c r="AN23" s="288">
        <f t="shared" si="13"/>
        <v>0</v>
      </c>
      <c r="AO23" s="289">
        <f t="shared" si="14"/>
        <v>0</v>
      </c>
      <c r="AP23" s="301"/>
      <c r="AQ23" s="302">
        <f>IF(BI23&gt;0,1,0)</f>
        <v>0</v>
      </c>
      <c r="AR23" s="306"/>
      <c r="AS23" s="321">
        <f>IF(BI23&lt;0,1,0)</f>
        <v>0</v>
      </c>
      <c r="AT23" s="303"/>
      <c r="AU23" s="252"/>
      <c r="AV23" s="236"/>
      <c r="AW23" s="236"/>
      <c r="AX23" s="236"/>
      <c r="AY23" s="304"/>
      <c r="AZ23" s="305">
        <f>IF(BI23&gt;0,1,0)</f>
        <v>0</v>
      </c>
      <c r="BB23" s="322">
        <f>IF(BI23&lt;0,1,0)</f>
        <v>0</v>
      </c>
      <c r="BC23" s="239">
        <f t="shared" si="15"/>
        <v>0</v>
      </c>
      <c r="BD23" s="239">
        <f t="shared" si="16"/>
        <v>0</v>
      </c>
      <c r="BE23" s="239">
        <f t="shared" si="17"/>
        <v>0</v>
      </c>
      <c r="BF23" s="239">
        <f t="shared" si="18"/>
        <v>0</v>
      </c>
      <c r="BG23" s="239">
        <f t="shared" si="19"/>
        <v>0</v>
      </c>
      <c r="BH23" s="239" t="str">
        <f t="shared" si="20"/>
        <v>M</v>
      </c>
      <c r="BI23" s="239">
        <f t="shared" si="21"/>
        <v>0</v>
      </c>
      <c r="BJ23" s="239"/>
      <c r="BK23" s="239"/>
      <c r="BL23" s="239" t="e">
        <f t="shared" si="22"/>
        <v>#VALUE!</v>
      </c>
      <c r="BM23" s="239">
        <f t="shared" si="23"/>
        <v>0</v>
      </c>
      <c r="BN23" s="239"/>
      <c r="BO23" s="282"/>
      <c r="BQ23" s="26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71"/>
      <c r="CE23" s="271"/>
      <c r="CF23" s="249">
        <f t="shared" si="2"/>
        <v>0</v>
      </c>
      <c r="CG23" s="242">
        <f t="shared" si="3"/>
        <v>0</v>
      </c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52"/>
      <c r="CT23" s="252"/>
      <c r="CU23" s="252"/>
      <c r="CV23" s="252"/>
      <c r="CW23" s="252"/>
      <c r="CX23" s="252"/>
      <c r="CY23" s="249"/>
      <c r="CZ23" s="271"/>
      <c r="DA23" s="252"/>
      <c r="DB23" s="252"/>
      <c r="DC23" s="252"/>
      <c r="DD23" s="252"/>
      <c r="DE23" s="252"/>
      <c r="DF23" s="271"/>
      <c r="DG23" s="252"/>
      <c r="DH23" s="252"/>
      <c r="DI23" s="252"/>
      <c r="DJ23" s="252"/>
      <c r="DK23" s="252"/>
      <c r="DL23" s="252"/>
      <c r="DM23" s="271"/>
      <c r="DN23" s="252"/>
      <c r="DO23" s="252"/>
      <c r="DP23" s="252"/>
      <c r="DQ23" s="252"/>
      <c r="DR23" s="252"/>
      <c r="DS23" s="252"/>
      <c r="DT23" s="248"/>
      <c r="DU23" s="249"/>
      <c r="DV23" s="236"/>
      <c r="DW23" s="248"/>
      <c r="DX23" s="249"/>
      <c r="DY23" s="249"/>
      <c r="DZ23" s="248"/>
      <c r="EA23" s="248"/>
      <c r="EB23" s="249" t="e">
        <f>IF(EG18&gt;0,DZ18/EG18,"???")</f>
        <v>#VALUE!</v>
      </c>
      <c r="EC23" s="249" t="e">
        <f>IF(EG19&gt;0,DZ19/EG19,"???")</f>
        <v>#VALUE!</v>
      </c>
      <c r="ED23" s="249" t="e">
        <f>IF(EG20&gt;0,DZ20/EG20,"???")</f>
        <v>#VALUE!</v>
      </c>
      <c r="EE23" s="249" t="e">
        <f>IF(EG21&gt;0,DZ21/EG21,"???")</f>
        <v>#VALUE!</v>
      </c>
      <c r="EF23" s="249" t="str">
        <f>IF(EG22&gt;0,DZ22/EG22,"???")</f>
        <v>???</v>
      </c>
      <c r="EG23" s="249"/>
      <c r="EH23" s="271"/>
      <c r="EI23" s="252"/>
      <c r="EJ23" s="252"/>
      <c r="EK23" s="252"/>
      <c r="EL23" s="252"/>
      <c r="EM23" s="252"/>
      <c r="EN23" s="249">
        <f>SUM(EI23:EM23)</f>
        <v>0</v>
      </c>
      <c r="EO23" s="271"/>
      <c r="EP23" s="248" t="e">
        <f>IF(EU18&gt;0,EN18/EU18,"???")</f>
        <v>#VALUE!</v>
      </c>
      <c r="EQ23" s="248" t="e">
        <f>IF(EU19&gt;0,EN19/EU19,"???")</f>
        <v>#VALUE!</v>
      </c>
      <c r="ER23" s="248" t="e">
        <f>IF(EU20&gt;0,EN20/EU20,"???")</f>
        <v>#VALUE!</v>
      </c>
      <c r="ES23" s="248" t="e">
        <f>IF(EU21&gt;0,EN21/EU21,"???")</f>
        <v>#VALUE!</v>
      </c>
      <c r="ET23" s="248" t="str">
        <f>IF(EU22&gt;0,EN22/EU22,"???")</f>
        <v>???</v>
      </c>
      <c r="EU23" s="249"/>
      <c r="EV23" s="271"/>
      <c r="EW23" s="252"/>
      <c r="EX23" s="252"/>
      <c r="EY23" s="252"/>
      <c r="EZ23" s="252"/>
      <c r="FA23" s="252"/>
      <c r="FB23" s="323" t="e">
        <f>SUM(FB18:FB22)</f>
        <v>#VALUE!</v>
      </c>
      <c r="FC23" s="271"/>
      <c r="FD23" s="252"/>
      <c r="FF23" s="252"/>
      <c r="FG23" s="252"/>
      <c r="FH23" s="252"/>
      <c r="FI23" s="323" t="e">
        <f>SUM(FI18:FI22)</f>
        <v>#VALUE!</v>
      </c>
      <c r="FJ23" s="236"/>
      <c r="FK23" s="236"/>
      <c r="FL23" s="236"/>
      <c r="FM23" s="236"/>
    </row>
    <row r="24" spans="1:169" ht="27.95" customHeight="1" thickBo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6"/>
      <c r="AC24" s="298">
        <f>IF(AF9&lt;&gt;" ",AF9," ")</f>
        <v>1</v>
      </c>
      <c r="AD24" s="299">
        <f>IF(AF10&lt;&gt;" ",AF10," ")</f>
        <v>2</v>
      </c>
      <c r="AE24" s="300" t="str">
        <f t="shared" si="4"/>
        <v xml:space="preserve"> </v>
      </c>
      <c r="AF24" s="286">
        <f t="shared" si="5"/>
        <v>0</v>
      </c>
      <c r="AG24" s="287">
        <f t="shared" si="6"/>
        <v>0</v>
      </c>
      <c r="AH24" s="284">
        <f t="shared" si="7"/>
        <v>0</v>
      </c>
      <c r="AI24" s="287">
        <f t="shared" si="8"/>
        <v>0</v>
      </c>
      <c r="AJ24" s="288">
        <f t="shared" si="9"/>
        <v>0</v>
      </c>
      <c r="AK24" s="287">
        <f t="shared" si="10"/>
        <v>0</v>
      </c>
      <c r="AL24" s="288">
        <f t="shared" si="11"/>
        <v>0</v>
      </c>
      <c r="AM24" s="287">
        <f t="shared" si="12"/>
        <v>0</v>
      </c>
      <c r="AN24" s="288">
        <f t="shared" si="13"/>
        <v>0</v>
      </c>
      <c r="AO24" s="289">
        <f t="shared" si="14"/>
        <v>0</v>
      </c>
      <c r="AP24" s="313">
        <f>IF(BI24&gt;0,1,0)</f>
        <v>0</v>
      </c>
      <c r="AQ24" s="302">
        <f>IF(BI24&lt;0,1,0)</f>
        <v>0</v>
      </c>
      <c r="AR24" s="324"/>
      <c r="AT24" s="303"/>
      <c r="AU24" s="252"/>
      <c r="AV24" s="236"/>
      <c r="AW24" s="236"/>
      <c r="AX24" s="236"/>
      <c r="AY24" s="317">
        <f>IF(BI24&gt;0,1,0)</f>
        <v>0</v>
      </c>
      <c r="AZ24" s="305">
        <f>IF(BI24&lt;0,1,0)</f>
        <v>0</v>
      </c>
      <c r="BA24" s="318"/>
      <c r="BB24" s="325"/>
      <c r="BC24" s="239">
        <f t="shared" si="15"/>
        <v>0</v>
      </c>
      <c r="BD24" s="239">
        <f t="shared" si="16"/>
        <v>0</v>
      </c>
      <c r="BE24" s="239">
        <f t="shared" si="17"/>
        <v>0</v>
      </c>
      <c r="BF24" s="239">
        <f t="shared" si="18"/>
        <v>0</v>
      </c>
      <c r="BG24" s="239">
        <f t="shared" si="19"/>
        <v>0</v>
      </c>
      <c r="BH24" s="239" t="str">
        <f t="shared" si="20"/>
        <v>M</v>
      </c>
      <c r="BI24" s="239">
        <f t="shared" si="21"/>
        <v>0</v>
      </c>
      <c r="BJ24" s="239"/>
      <c r="BK24" s="239"/>
      <c r="BL24" s="239" t="e">
        <f t="shared" si="22"/>
        <v>#VALUE!</v>
      </c>
      <c r="BM24" s="239">
        <f t="shared" si="23"/>
        <v>0</v>
      </c>
      <c r="BN24" s="239"/>
      <c r="BO24" s="282"/>
      <c r="BQ24" s="26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9">
        <f t="shared" si="2"/>
        <v>0</v>
      </c>
      <c r="CG24" s="242">
        <f t="shared" si="3"/>
        <v>0</v>
      </c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49"/>
      <c r="CZ24" s="271"/>
      <c r="DA24" s="252"/>
      <c r="DB24" s="252"/>
      <c r="DC24" s="252"/>
      <c r="DD24" s="252"/>
      <c r="DE24" s="252"/>
      <c r="DF24" s="252"/>
      <c r="DG24" s="252"/>
      <c r="DH24" s="271"/>
      <c r="DI24" s="252"/>
      <c r="DJ24" s="252"/>
      <c r="DK24" s="252"/>
      <c r="DL24" s="252"/>
      <c r="DM24" s="271"/>
      <c r="DN24" s="252"/>
      <c r="DO24" s="252"/>
      <c r="DP24" s="252"/>
      <c r="DQ24" s="252"/>
      <c r="DR24" s="252"/>
      <c r="DS24" s="252"/>
      <c r="DT24" s="248"/>
      <c r="DU24" s="249"/>
      <c r="DV24" s="249"/>
      <c r="DW24" s="249"/>
      <c r="DX24" s="249"/>
      <c r="DY24" s="249"/>
      <c r="DZ24" s="252"/>
      <c r="EA24" s="248"/>
      <c r="EH24" s="271"/>
      <c r="EI24" s="271"/>
      <c r="EJ24" s="271"/>
      <c r="EK24" s="271"/>
      <c r="EL24" s="271"/>
      <c r="EM24" s="271"/>
      <c r="EN24" s="249">
        <f>SUM(EI24:EM24)</f>
        <v>0</v>
      </c>
      <c r="EO24" s="236"/>
      <c r="EP24" s="236"/>
      <c r="EQ24" s="236"/>
      <c r="ER24" s="236"/>
      <c r="ES24" s="236"/>
      <c r="ET24" s="236"/>
      <c r="EU24" s="236"/>
      <c r="EV24" s="271"/>
      <c r="EW24" s="252"/>
      <c r="EX24" s="252"/>
      <c r="EY24" s="249"/>
      <c r="EZ24" s="252"/>
      <c r="FA24" s="252"/>
      <c r="FB24" s="252"/>
      <c r="FC24" s="271"/>
      <c r="FD24" s="252"/>
      <c r="FE24" s="248"/>
      <c r="FF24" s="252"/>
      <c r="FG24" s="252"/>
      <c r="FH24" s="252"/>
      <c r="FI24" s="252"/>
      <c r="FJ24" s="236"/>
      <c r="FK24" s="236"/>
      <c r="FL24" s="236"/>
      <c r="FM24" s="236"/>
    </row>
    <row r="25" spans="1:169" ht="27.95" customHeight="1" thickBot="1" x14ac:dyDescent="0.25">
      <c r="A25" s="881" t="s">
        <v>289</v>
      </c>
      <c r="B25" s="882"/>
      <c r="C25" s="870" t="str">
        <f>IF($AB22&lt;6,"",IF($X23=1,C9,IF($Y23=1,C10,IF($Z23=1,C11,IF($AA23=1,C12)))))</f>
        <v/>
      </c>
      <c r="D25" s="871"/>
      <c r="E25" s="811" t="str">
        <f>IF(C25="","",VLOOKUP(C25,liste!$A$9:$G$145,2,FALSE))</f>
        <v/>
      </c>
      <c r="F25" s="812"/>
      <c r="G25" s="812"/>
      <c r="H25" s="812"/>
      <c r="I25" s="813"/>
      <c r="J25" s="584" t="str">
        <f>IF(C25="","",VLOOKUP(C25,liste!$A$9:$G$145,4,FALSE))</f>
        <v/>
      </c>
      <c r="K25" s="811" t="str">
        <f>IF(C25="","",VLOOKUP(C25,liste!$A$9:$G$145,3,FALSE))</f>
        <v/>
      </c>
      <c r="L25" s="812"/>
      <c r="M25" s="812"/>
      <c r="N25" s="813"/>
      <c r="O25" s="513"/>
      <c r="P25" s="892" t="s">
        <v>294</v>
      </c>
      <c r="Q25" s="892"/>
      <c r="R25" s="892"/>
      <c r="S25" s="504"/>
      <c r="T25" s="504"/>
      <c r="U25" s="504"/>
      <c r="V25" s="504"/>
      <c r="W25" s="504"/>
      <c r="X25" s="504"/>
      <c r="Y25" s="504"/>
      <c r="Z25" s="504"/>
      <c r="AA25" s="506"/>
      <c r="AC25" s="298">
        <f>IF(AF11&lt;&gt;" ",AF11," ")</f>
        <v>3</v>
      </c>
      <c r="AD25" s="299">
        <f>IF(AF12&lt;&gt;" ",AF12," ")</f>
        <v>4</v>
      </c>
      <c r="AE25" s="300" t="str">
        <f t="shared" si="4"/>
        <v xml:space="preserve"> </v>
      </c>
      <c r="AF25" s="286">
        <f t="shared" si="5"/>
        <v>0</v>
      </c>
      <c r="AG25" s="287">
        <f t="shared" si="6"/>
        <v>0</v>
      </c>
      <c r="AH25" s="284">
        <f t="shared" si="7"/>
        <v>0</v>
      </c>
      <c r="AI25" s="287">
        <f t="shared" si="8"/>
        <v>0</v>
      </c>
      <c r="AJ25" s="288">
        <f t="shared" si="9"/>
        <v>0</v>
      </c>
      <c r="AK25" s="287">
        <f t="shared" si="10"/>
        <v>0</v>
      </c>
      <c r="AL25" s="288">
        <f t="shared" si="11"/>
        <v>0</v>
      </c>
      <c r="AM25" s="287">
        <f t="shared" si="12"/>
        <v>0</v>
      </c>
      <c r="AN25" s="288">
        <f t="shared" si="13"/>
        <v>0</v>
      </c>
      <c r="AO25" s="289">
        <f t="shared" si="14"/>
        <v>0</v>
      </c>
      <c r="AP25" s="301"/>
      <c r="AR25" s="302">
        <f>IF(BI25&gt;0,1,0)</f>
        <v>0</v>
      </c>
      <c r="AS25" s="315">
        <f>IF(BI25&lt;0,1,0)</f>
        <v>0</v>
      </c>
      <c r="AT25" s="292"/>
      <c r="AU25" s="252"/>
      <c r="AV25" s="236"/>
      <c r="AW25" s="236"/>
      <c r="AX25" s="236"/>
      <c r="AY25" s="326"/>
      <c r="AZ25" s="327"/>
      <c r="BA25" s="328">
        <f>IF(BI25&gt;0,1,0)</f>
        <v>0</v>
      </c>
      <c r="BB25" s="328">
        <f>IF(BI25&lt;0,1,0)</f>
        <v>0</v>
      </c>
      <c r="BC25" s="329">
        <f t="shared" si="15"/>
        <v>0</v>
      </c>
      <c r="BD25" s="329">
        <f t="shared" si="16"/>
        <v>0</v>
      </c>
      <c r="BE25" s="329">
        <f t="shared" si="17"/>
        <v>0</v>
      </c>
      <c r="BF25" s="329">
        <f t="shared" si="18"/>
        <v>0</v>
      </c>
      <c r="BG25" s="329">
        <f t="shared" si="19"/>
        <v>0</v>
      </c>
      <c r="BH25" s="329" t="str">
        <f t="shared" si="20"/>
        <v>M</v>
      </c>
      <c r="BI25" s="329">
        <f t="shared" si="21"/>
        <v>0</v>
      </c>
      <c r="BJ25" s="329"/>
      <c r="BK25" s="329"/>
      <c r="BL25" s="329" t="e">
        <f t="shared" si="22"/>
        <v>#VALUE!</v>
      </c>
      <c r="BM25" s="329">
        <f t="shared" si="23"/>
        <v>0</v>
      </c>
      <c r="BN25" s="329"/>
      <c r="BO25" s="330"/>
      <c r="BQ25" s="268"/>
      <c r="BR25" s="248"/>
      <c r="BS25" s="248">
        <f>AE16</f>
        <v>0</v>
      </c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9"/>
      <c r="DB25" s="249"/>
      <c r="DC25" s="249"/>
      <c r="DD25" s="249"/>
      <c r="DE25" s="249"/>
      <c r="DF25" s="249"/>
      <c r="DG25" s="248"/>
      <c r="DH25" s="248"/>
      <c r="DI25" s="249"/>
      <c r="DJ25" s="249"/>
      <c r="DK25" s="249"/>
      <c r="DL25" s="249"/>
      <c r="DM25" s="249"/>
      <c r="DN25" s="249"/>
      <c r="DO25" s="248"/>
      <c r="DP25" s="248"/>
      <c r="DQ25" s="249"/>
      <c r="DR25" s="249"/>
      <c r="DS25" s="249"/>
      <c r="DT25" s="236"/>
      <c r="DU25" s="236"/>
      <c r="DV25" s="236"/>
      <c r="DW25" s="236"/>
      <c r="DX25" s="236"/>
      <c r="DY25" s="236"/>
      <c r="DZ25" s="236"/>
      <c r="EA25" s="248"/>
      <c r="EB25" s="236"/>
      <c r="EC25" s="236"/>
      <c r="ED25" s="236"/>
      <c r="EE25" s="236"/>
      <c r="EF25" s="236"/>
      <c r="EG25" s="252"/>
      <c r="EH25" s="248"/>
      <c r="EI25" s="248"/>
      <c r="EJ25" s="248"/>
      <c r="EK25" s="248"/>
      <c r="EL25" s="248"/>
      <c r="EM25" s="248"/>
      <c r="EN25" s="248"/>
      <c r="EO25" s="236"/>
      <c r="EP25" s="236"/>
      <c r="EQ25" s="236"/>
      <c r="ER25" s="236"/>
      <c r="ES25" s="236"/>
      <c r="ET25" s="236"/>
      <c r="EU25" s="248"/>
      <c r="EV25" s="248"/>
      <c r="EW25" s="248"/>
      <c r="EX25" s="248"/>
      <c r="EY25" s="248"/>
      <c r="EZ25" s="248"/>
      <c r="FA25" s="248"/>
      <c r="FB25" s="248"/>
      <c r="FC25" s="248"/>
      <c r="FD25" s="248"/>
      <c r="FF25" s="248"/>
      <c r="FG25" s="248"/>
      <c r="FH25" s="248"/>
      <c r="FI25" s="248"/>
      <c r="FJ25" s="236"/>
      <c r="FK25" s="236"/>
      <c r="FL25" s="236"/>
      <c r="FM25" s="236"/>
    </row>
    <row r="26" spans="1:169" ht="27.95" customHeight="1" thickTop="1" thickBot="1" x14ac:dyDescent="0.25">
      <c r="A26" s="877" t="s">
        <v>290</v>
      </c>
      <c r="B26" s="878"/>
      <c r="C26" s="868" t="str">
        <f>IF($AB22&lt;6,"",IF($X23=2,C9,IF($Y23=2,C10,IF($Z23=2,C11,IF($AA23=2,C12)))))</f>
        <v/>
      </c>
      <c r="D26" s="869"/>
      <c r="E26" s="804" t="str">
        <f>IF(C26="","",VLOOKUP(C26,liste!$A$9:$G$145,2,FALSE))</f>
        <v/>
      </c>
      <c r="F26" s="805"/>
      <c r="G26" s="805"/>
      <c r="H26" s="805"/>
      <c r="I26" s="806"/>
      <c r="J26" s="585" t="str">
        <f>IF(C26="","",VLOOKUP(C26,liste!$A$9:$G$145,4,FALSE))</f>
        <v/>
      </c>
      <c r="K26" s="804" t="str">
        <f>IF(C26="","",VLOOKUP(C26,liste!$A$9:$G$145,3,FALSE))</f>
        <v/>
      </c>
      <c r="L26" s="805"/>
      <c r="M26" s="805"/>
      <c r="N26" s="806"/>
      <c r="O26" s="504"/>
      <c r="P26" s="825">
        <f>liste!$B$145</f>
        <v>0</v>
      </c>
      <c r="Q26" s="825"/>
      <c r="R26" s="825"/>
      <c r="S26" s="825"/>
      <c r="T26" s="825"/>
      <c r="U26" s="825"/>
      <c r="V26" s="504"/>
      <c r="W26" s="504"/>
      <c r="X26" s="504"/>
      <c r="Y26" s="504"/>
      <c r="Z26" s="504"/>
      <c r="AA26" s="506"/>
      <c r="AC26" s="331"/>
      <c r="AD26" s="332"/>
      <c r="AE26" s="332"/>
      <c r="AF26" s="333"/>
      <c r="AG26" s="333"/>
      <c r="AH26" s="333"/>
      <c r="AI26" s="333"/>
      <c r="AJ26" s="334"/>
      <c r="AK26" s="334"/>
      <c r="AL26" s="335"/>
      <c r="AM26" s="334" t="s">
        <v>72</v>
      </c>
      <c r="AN26" s="333"/>
      <c r="AO26" s="336"/>
      <c r="AP26" s="337">
        <f>SUM(AP20:AP25)</f>
        <v>0</v>
      </c>
      <c r="AQ26" s="338">
        <f>SUM(AQ20:AQ25)</f>
        <v>0</v>
      </c>
      <c r="AR26" s="338">
        <f>SUM(AR20:AR25)</f>
        <v>0</v>
      </c>
      <c r="AS26" s="339">
        <f>SUM(AS20:AS25)</f>
        <v>0</v>
      </c>
      <c r="AT26" s="340">
        <f>SUM(AT20:AT25)</f>
        <v>0</v>
      </c>
      <c r="AU26" s="252"/>
      <c r="AV26" s="236"/>
      <c r="AW26" s="236"/>
      <c r="AX26" s="236"/>
      <c r="AY26" s="323"/>
      <c r="AZ26" s="323"/>
      <c r="BA26" s="323"/>
      <c r="BB26" s="323"/>
      <c r="BC26" s="323"/>
      <c r="BD26" s="252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8"/>
      <c r="BS26" s="248">
        <f>AE17</f>
        <v>0</v>
      </c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9"/>
      <c r="DB26" s="249"/>
      <c r="DC26" s="249"/>
      <c r="DD26" s="249"/>
      <c r="DE26" s="249"/>
      <c r="DF26" s="249"/>
      <c r="DG26" s="248"/>
      <c r="DH26" s="248"/>
      <c r="DI26" s="249"/>
      <c r="DJ26" s="249"/>
      <c r="DK26" s="249"/>
      <c r="DL26" s="249"/>
      <c r="DM26" s="249"/>
      <c r="DN26" s="249"/>
      <c r="DO26" s="248"/>
      <c r="DP26" s="248"/>
      <c r="DQ26" s="249"/>
      <c r="DR26" s="249"/>
      <c r="DS26" s="249"/>
      <c r="DT26" s="249"/>
      <c r="DU26" s="249"/>
      <c r="DV26" s="249"/>
      <c r="DW26" s="248"/>
      <c r="DX26" s="248"/>
      <c r="DY26" s="249"/>
      <c r="DZ26" s="249"/>
      <c r="EA26" s="236"/>
      <c r="EB26" s="249"/>
      <c r="EC26" s="249"/>
      <c r="ED26" s="249"/>
      <c r="EE26" s="248">
        <f>SUM(DY26:ED26)</f>
        <v>0</v>
      </c>
      <c r="EF26" s="248"/>
      <c r="EG26" s="236"/>
      <c r="EH26" s="248"/>
      <c r="EI26" s="248"/>
      <c r="EJ26" s="248"/>
      <c r="EK26" s="248"/>
      <c r="EL26" s="248"/>
      <c r="EM26" s="248"/>
      <c r="EN26" s="248"/>
      <c r="EO26" s="236"/>
      <c r="EP26" s="236"/>
      <c r="EQ26" s="236"/>
      <c r="ER26" s="236"/>
      <c r="ES26" s="236"/>
      <c r="ET26" s="236"/>
      <c r="EU26" s="248"/>
      <c r="EV26" s="248"/>
      <c r="EW26" s="236"/>
      <c r="EX26" s="236"/>
      <c r="EY26" s="236"/>
      <c r="EZ26" s="236"/>
      <c r="FA26" s="236"/>
      <c r="FB26" s="236"/>
      <c r="FC26" s="248"/>
      <c r="FD26" s="248"/>
      <c r="FE26" s="248"/>
      <c r="FF26" s="248"/>
      <c r="FG26" s="248"/>
      <c r="FH26" s="248"/>
      <c r="FI26" s="248"/>
      <c r="FJ26" s="236"/>
      <c r="FK26" s="236"/>
      <c r="FL26" s="236"/>
      <c r="FM26" s="236"/>
    </row>
    <row r="27" spans="1:169" ht="27.95" customHeight="1" thickTop="1" x14ac:dyDescent="0.2">
      <c r="A27" s="877" t="s">
        <v>291</v>
      </c>
      <c r="B27" s="878"/>
      <c r="C27" s="868" t="str">
        <f>IF($AB22&lt;6,"",IF($X23=3,C9,IF($Y23=3,C10,IF($Z23=3,C11,IF($AA23=3,C12)))))</f>
        <v/>
      </c>
      <c r="D27" s="869"/>
      <c r="E27" s="804" t="str">
        <f>IF(C27="","",VLOOKUP(C27,liste!$A$9:$G$145,2,FALSE))</f>
        <v/>
      </c>
      <c r="F27" s="805"/>
      <c r="G27" s="805"/>
      <c r="H27" s="805"/>
      <c r="I27" s="806"/>
      <c r="J27" s="585" t="str">
        <f>IF(C27="","",VLOOKUP(C27,liste!$A$9:$G$145,4,FALSE))</f>
        <v/>
      </c>
      <c r="K27" s="804" t="str">
        <f>IF(C27="","",VLOOKUP(C27,liste!$A$9:$G$145,3,FALSE))</f>
        <v/>
      </c>
      <c r="L27" s="805"/>
      <c r="M27" s="805"/>
      <c r="N27" s="806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6"/>
      <c r="AU27" s="252"/>
      <c r="AV27" s="236"/>
      <c r="AW27" s="236"/>
      <c r="AX27" s="236"/>
      <c r="AY27" s="323"/>
      <c r="AZ27" s="323"/>
      <c r="BA27" s="323"/>
      <c r="BB27" s="323"/>
      <c r="BC27" s="323"/>
      <c r="BD27" s="252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9"/>
      <c r="DB27" s="249"/>
      <c r="DC27" s="249"/>
      <c r="DD27" s="249"/>
      <c r="DE27" s="249"/>
      <c r="DF27" s="249"/>
      <c r="DG27" s="248"/>
      <c r="DH27" s="248"/>
      <c r="DI27" s="249"/>
      <c r="DJ27" s="249"/>
      <c r="DK27" s="249"/>
      <c r="DL27" s="249"/>
      <c r="DM27" s="249"/>
      <c r="DN27" s="249"/>
      <c r="DO27" s="248"/>
      <c r="DP27" s="248"/>
      <c r="DQ27" s="249"/>
      <c r="DR27" s="249"/>
      <c r="DS27" s="249"/>
      <c r="DT27" s="249"/>
      <c r="DU27" s="249"/>
      <c r="DV27" s="249"/>
      <c r="DW27" s="248"/>
      <c r="DX27" s="248"/>
      <c r="DY27" s="249"/>
      <c r="DZ27" s="249"/>
      <c r="EA27" s="249"/>
      <c r="EB27" s="249"/>
      <c r="EC27" s="249"/>
      <c r="ED27" s="249"/>
      <c r="EE27" s="248">
        <f>SUM(DY27:ED27)</f>
        <v>0</v>
      </c>
      <c r="EF27" s="248"/>
      <c r="EG27" s="241"/>
      <c r="EH27" s="241"/>
      <c r="EI27" s="241"/>
      <c r="EJ27" s="241"/>
      <c r="EK27" s="241"/>
      <c r="EL27" s="241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36"/>
      <c r="FK27" s="236"/>
      <c r="FL27" s="236"/>
      <c r="FM27" s="236"/>
    </row>
    <row r="28" spans="1:169" ht="21.95" customHeight="1" thickBot="1" x14ac:dyDescent="0.25">
      <c r="A28" s="888" t="s">
        <v>292</v>
      </c>
      <c r="B28" s="889"/>
      <c r="C28" s="860" t="str">
        <f>IF($AB22&lt;6,"",IF($X23=4,C9,IF($Y23=4,C10,IF($Z23=4,C11,IF(AA23=4,C12)))))</f>
        <v/>
      </c>
      <c r="D28" s="861"/>
      <c r="E28" s="814" t="str">
        <f>IF(C28="","",VLOOKUP(C28,liste!$A$9:$G$145,2,FALSE))</f>
        <v/>
      </c>
      <c r="F28" s="815"/>
      <c r="G28" s="815"/>
      <c r="H28" s="815"/>
      <c r="I28" s="816"/>
      <c r="J28" s="586" t="str">
        <f>IF(C28="","",VLOOKUP(C28,liste!$A$9:$G$145,4,FALSE))</f>
        <v/>
      </c>
      <c r="K28" s="814" t="str">
        <f>IF(C28="","",VLOOKUP(C28,liste!$A$9:$G$145,3,FALSE))</f>
        <v/>
      </c>
      <c r="L28" s="815"/>
      <c r="M28" s="815"/>
      <c r="N28" s="81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U28" s="252"/>
      <c r="AV28" s="236"/>
      <c r="AW28" s="236"/>
      <c r="AX28" s="236"/>
      <c r="AY28" s="323"/>
      <c r="AZ28" s="323"/>
      <c r="BA28" s="323"/>
      <c r="BB28" s="323"/>
      <c r="BC28" s="323"/>
      <c r="BD28" s="252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1"/>
      <c r="CG28" s="241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 t="s">
        <v>5</v>
      </c>
      <c r="CT28" s="248" t="s">
        <v>5</v>
      </c>
      <c r="CU28" s="248"/>
      <c r="CV28" s="248"/>
      <c r="CW28" s="248" t="s">
        <v>5</v>
      </c>
      <c r="CX28" s="248" t="s">
        <v>5</v>
      </c>
      <c r="CY28" s="248"/>
      <c r="CZ28" s="248"/>
      <c r="DA28" s="249" t="s">
        <v>5</v>
      </c>
      <c r="DB28" s="249" t="s">
        <v>5</v>
      </c>
      <c r="DC28" s="249"/>
      <c r="DD28" s="249"/>
      <c r="DE28" s="249" t="s">
        <v>5</v>
      </c>
      <c r="DF28" s="249" t="s">
        <v>5</v>
      </c>
      <c r="DG28" s="248"/>
      <c r="DH28" s="248"/>
      <c r="DI28" s="249" t="s">
        <v>5</v>
      </c>
      <c r="DJ28" s="249" t="s">
        <v>5</v>
      </c>
      <c r="DK28" s="249"/>
      <c r="DL28" s="249"/>
      <c r="DM28" s="249" t="s">
        <v>5</v>
      </c>
      <c r="DN28" s="249" t="s">
        <v>5</v>
      </c>
      <c r="DO28" s="248"/>
      <c r="DP28" s="248"/>
      <c r="DQ28" s="249" t="s">
        <v>5</v>
      </c>
      <c r="DR28" s="249" t="s">
        <v>5</v>
      </c>
      <c r="DS28" s="249"/>
      <c r="DT28" s="249"/>
      <c r="DU28" s="249" t="s">
        <v>5</v>
      </c>
      <c r="DV28" s="249" t="s">
        <v>5</v>
      </c>
      <c r="DW28" s="248"/>
      <c r="DX28" s="248"/>
      <c r="DY28" s="249" t="s">
        <v>5</v>
      </c>
      <c r="DZ28" s="249" t="s">
        <v>71</v>
      </c>
      <c r="EA28" s="249" t="s">
        <v>5</v>
      </c>
      <c r="EB28" s="249"/>
      <c r="EC28" s="249"/>
      <c r="ED28" s="249" t="s">
        <v>5</v>
      </c>
      <c r="EE28" s="248">
        <f>SUM(DY28:ED28)</f>
        <v>0</v>
      </c>
      <c r="EF28" s="248"/>
      <c r="EG28" s="248"/>
      <c r="EH28" s="248"/>
      <c r="EI28" s="248"/>
      <c r="EJ28" s="248"/>
      <c r="EK28" s="248"/>
      <c r="EL28" s="248"/>
      <c r="EM28" s="248"/>
      <c r="EN28" s="248"/>
      <c r="EO28" s="248" t="s">
        <v>5</v>
      </c>
      <c r="EP28" s="248" t="s">
        <v>71</v>
      </c>
      <c r="EQ28" s="248" t="s">
        <v>5</v>
      </c>
      <c r="ER28" s="248"/>
      <c r="ES28" s="248"/>
      <c r="ET28" s="248" t="s">
        <v>5</v>
      </c>
      <c r="EU28" s="248"/>
      <c r="EV28" s="248"/>
      <c r="EW28" s="248" t="s">
        <v>5</v>
      </c>
      <c r="EX28" s="248" t="s">
        <v>5</v>
      </c>
      <c r="EY28" s="248"/>
      <c r="EZ28" s="248"/>
      <c r="FA28" s="248" t="s">
        <v>5</v>
      </c>
      <c r="FB28" s="248" t="s">
        <v>5</v>
      </c>
      <c r="FC28" s="248"/>
      <c r="FD28" s="248"/>
      <c r="FE28" s="248"/>
      <c r="FF28" s="248"/>
      <c r="FG28" s="248"/>
      <c r="FH28" s="248"/>
      <c r="FI28" s="248"/>
      <c r="FJ28" s="236"/>
      <c r="FK28" s="236"/>
      <c r="FL28" s="236"/>
      <c r="FM28" s="236"/>
    </row>
    <row r="29" spans="1:169" ht="30" customHeight="1" x14ac:dyDescent="0.2">
      <c r="A29" s="587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U29" s="252"/>
      <c r="AV29" s="236"/>
      <c r="AW29" s="236"/>
      <c r="AX29" s="236"/>
      <c r="AY29" s="323"/>
      <c r="AZ29" s="323"/>
      <c r="BA29" s="323"/>
      <c r="BB29" s="323"/>
      <c r="BC29" s="323"/>
      <c r="BD29" s="252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8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1"/>
      <c r="DH29" s="248"/>
      <c r="DI29" s="249"/>
      <c r="DJ29" s="249"/>
      <c r="DK29" s="249"/>
      <c r="DL29" s="249"/>
      <c r="DM29" s="249"/>
      <c r="DN29" s="249"/>
      <c r="DO29" s="248"/>
      <c r="DP29" s="248"/>
      <c r="DQ29" s="249"/>
      <c r="DR29" s="249"/>
      <c r="DS29" s="249"/>
      <c r="DT29" s="249"/>
      <c r="DU29" s="249"/>
      <c r="DV29" s="249"/>
      <c r="DW29" s="241"/>
      <c r="DX29" s="248"/>
      <c r="DY29" s="248"/>
      <c r="DZ29" s="248"/>
      <c r="EA29" s="248"/>
      <c r="EB29" s="248"/>
      <c r="EC29" s="248"/>
      <c r="ED29" s="248"/>
      <c r="EE29" s="248">
        <f>SUM(DY29:ED29)</f>
        <v>0</v>
      </c>
      <c r="EF29" s="248"/>
      <c r="EG29" s="236"/>
      <c r="EH29" s="236"/>
      <c r="EI29" s="236"/>
      <c r="EJ29" s="236"/>
      <c r="EK29" s="236"/>
      <c r="EL29" s="236"/>
      <c r="EM29" s="241"/>
      <c r="EN29" s="248"/>
      <c r="EO29" s="248"/>
      <c r="EP29" s="248"/>
      <c r="EQ29" s="248"/>
      <c r="ER29" s="248"/>
      <c r="ES29" s="248"/>
      <c r="ET29" s="248"/>
      <c r="EU29" s="241"/>
      <c r="EV29" s="248"/>
      <c r="EW29" s="248"/>
      <c r="EX29" s="248"/>
      <c r="EY29" s="248"/>
      <c r="EZ29" s="248"/>
      <c r="FA29" s="248"/>
      <c r="FB29" s="248"/>
      <c r="FC29" s="241"/>
      <c r="FD29" s="248"/>
      <c r="FE29" s="248"/>
      <c r="FF29" s="248"/>
      <c r="FG29" s="248"/>
      <c r="FH29" s="248"/>
      <c r="FI29" s="248"/>
      <c r="FJ29" s="236"/>
      <c r="FK29" s="236"/>
      <c r="FL29" s="236"/>
      <c r="FM29" s="236"/>
    </row>
    <row r="30" spans="1:169" ht="30" customHeight="1" x14ac:dyDescent="0.2">
      <c r="A30" s="893" t="str">
        <f>$A$1</f>
        <v>Circuit décathlon</v>
      </c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</row>
    <row r="31" spans="1:169" ht="21.95" customHeight="1" x14ac:dyDescent="0.2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C31" s="236"/>
      <c r="AD31" s="236"/>
      <c r="AE31" s="236"/>
      <c r="AF31" s="599"/>
      <c r="AG31" s="599"/>
      <c r="AH31" s="599"/>
      <c r="AI31" s="599"/>
      <c r="AJ31" s="599"/>
      <c r="AK31" s="599"/>
      <c r="AL31" s="599"/>
      <c r="AM31" s="599"/>
      <c r="AN31" s="599"/>
      <c r="AO31" s="599"/>
      <c r="AP31" s="599"/>
      <c r="AQ31" s="599"/>
      <c r="AR31" s="599"/>
      <c r="AS31" s="599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</row>
    <row r="32" spans="1:169" ht="21.95" customHeight="1" x14ac:dyDescent="0.2">
      <c r="A32" s="502"/>
      <c r="B32" s="503"/>
      <c r="C32" s="504"/>
      <c r="D32" s="504"/>
      <c r="E32" s="504"/>
      <c r="F32" s="504"/>
      <c r="G32" s="503"/>
      <c r="H32" s="505"/>
      <c r="I32" s="506"/>
      <c r="J32" s="506"/>
      <c r="K32" s="506"/>
      <c r="L32" s="507"/>
      <c r="M32" s="506"/>
      <c r="N32" s="506"/>
      <c r="O32" s="508"/>
      <c r="P32" s="508"/>
      <c r="Q32" s="508"/>
      <c r="R32" s="508"/>
      <c r="S32" s="508"/>
      <c r="T32" s="504"/>
      <c r="U32" s="505"/>
      <c r="V32" s="505"/>
      <c r="W32" s="504"/>
      <c r="X32" s="504"/>
      <c r="Y32" s="504"/>
      <c r="Z32" s="504"/>
      <c r="AA32" s="502"/>
      <c r="AC32" s="236"/>
      <c r="AD32" s="236"/>
      <c r="AE32" s="236"/>
      <c r="AF32" s="599"/>
      <c r="AG32" s="599"/>
      <c r="AH32" s="599"/>
      <c r="AI32" s="599"/>
      <c r="AJ32" s="599"/>
      <c r="AK32" s="599"/>
      <c r="AL32" s="599"/>
      <c r="AM32" s="599"/>
      <c r="AN32" s="599"/>
      <c r="AO32" s="599"/>
      <c r="AP32" s="599"/>
      <c r="AQ32" s="599"/>
      <c r="AR32" s="599"/>
      <c r="AS32" s="599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</row>
    <row r="33" spans="1:169" ht="21.95" customHeight="1" x14ac:dyDescent="0.2">
      <c r="A33" s="503"/>
      <c r="B33" s="503"/>
      <c r="C33" s="504"/>
      <c r="D33" s="503"/>
      <c r="E33" s="509" t="s">
        <v>6</v>
      </c>
      <c r="F33" s="894" t="str">
        <f>$F$4</f>
        <v>Champagné</v>
      </c>
      <c r="G33" s="894"/>
      <c r="H33" s="894"/>
      <c r="I33" s="894"/>
      <c r="J33" s="894"/>
      <c r="K33" s="506"/>
      <c r="L33" s="506"/>
      <c r="M33" s="506"/>
      <c r="N33" s="508"/>
      <c r="O33" s="508"/>
      <c r="P33" s="508"/>
      <c r="Q33" s="508"/>
      <c r="R33" s="508"/>
      <c r="S33" s="509" t="s">
        <v>7</v>
      </c>
      <c r="T33" s="846">
        <f>$T$4</f>
        <v>43421</v>
      </c>
      <c r="U33" s="846"/>
      <c r="V33" s="846"/>
      <c r="W33" s="846"/>
      <c r="X33" s="846"/>
      <c r="Y33" s="846"/>
      <c r="Z33" s="510"/>
      <c r="AA33" s="506"/>
      <c r="AC33" s="236"/>
      <c r="AD33" s="236"/>
      <c r="AE33" s="236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599"/>
      <c r="AS33" s="599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</row>
    <row r="34" spans="1:169" ht="21.95" customHeight="1" x14ac:dyDescent="0.2">
      <c r="A34" s="503"/>
      <c r="B34" s="503"/>
      <c r="C34" s="503"/>
      <c r="D34" s="503"/>
      <c r="E34" s="503"/>
      <c r="F34" s="503"/>
      <c r="G34" s="506"/>
      <c r="H34" s="506"/>
      <c r="I34" s="506"/>
      <c r="J34" s="506"/>
      <c r="K34" s="506"/>
      <c r="L34" s="506"/>
      <c r="M34" s="506"/>
      <c r="N34" s="508"/>
      <c r="O34" s="508"/>
      <c r="P34" s="508"/>
      <c r="Q34" s="508"/>
      <c r="R34" s="508"/>
      <c r="S34" s="508"/>
      <c r="T34" s="508"/>
      <c r="U34" s="508"/>
      <c r="V34" s="506"/>
      <c r="W34" s="504"/>
      <c r="X34" s="504"/>
      <c r="Y34" s="504"/>
      <c r="Z34" s="506"/>
      <c r="AA34" s="506"/>
      <c r="AC34" s="236"/>
      <c r="AD34" s="236"/>
      <c r="AE34" s="236"/>
      <c r="AF34" s="599"/>
      <c r="AG34" s="599"/>
      <c r="AH34" s="599"/>
      <c r="AI34" s="599"/>
      <c r="AJ34" s="599"/>
      <c r="AK34" s="599"/>
      <c r="AL34" s="599"/>
      <c r="AM34" s="599"/>
      <c r="AN34" s="599"/>
      <c r="AO34" s="599"/>
      <c r="AP34" s="599"/>
      <c r="AQ34" s="599"/>
      <c r="AR34" s="599"/>
      <c r="AS34" s="599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</row>
    <row r="35" spans="1:169" ht="21.95" customHeight="1" x14ac:dyDescent="0.2">
      <c r="A35" s="502"/>
      <c r="B35" s="503"/>
      <c r="C35" s="503"/>
      <c r="D35" s="503"/>
      <c r="E35" s="509" t="s">
        <v>11</v>
      </c>
      <c r="F35" s="885" t="str">
        <f>F6</f>
        <v>Minimes</v>
      </c>
      <c r="G35" s="885"/>
      <c r="H35" s="885"/>
      <c r="I35" s="885"/>
      <c r="J35" s="885"/>
      <c r="K35" s="885"/>
      <c r="L35" s="511" t="s">
        <v>2</v>
      </c>
      <c r="M35" s="512" t="s">
        <v>61</v>
      </c>
      <c r="N35" s="504"/>
      <c r="O35" s="513" t="s">
        <v>287</v>
      </c>
      <c r="P35" s="503"/>
      <c r="Q35" s="512">
        <f>Rens!C10</f>
        <v>0</v>
      </c>
      <c r="R35" s="503"/>
      <c r="S35" s="503"/>
      <c r="T35" s="508"/>
      <c r="U35" s="513"/>
      <c r="V35" s="514" t="s">
        <v>171</v>
      </c>
      <c r="W35" s="504"/>
      <c r="X35" s="895" t="str">
        <f>Rens!$E$1</f>
        <v>2018/2019</v>
      </c>
      <c r="Y35" s="895"/>
      <c r="Z35" s="895"/>
      <c r="AA35" s="511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</row>
    <row r="36" spans="1:169" ht="21.95" customHeight="1" thickBot="1" x14ac:dyDescent="0.25">
      <c r="A36" s="503"/>
      <c r="B36" s="503"/>
      <c r="C36" s="503"/>
      <c r="D36" s="503"/>
      <c r="E36" s="503"/>
      <c r="F36" s="503"/>
      <c r="G36" s="503"/>
      <c r="H36" s="506"/>
      <c r="I36" s="506"/>
      <c r="J36" s="506"/>
      <c r="K36" s="506"/>
      <c r="L36" s="506"/>
      <c r="M36" s="506"/>
      <c r="N36" s="506"/>
      <c r="O36" s="508"/>
      <c r="P36" s="508"/>
      <c r="Q36" s="508"/>
      <c r="R36" s="508"/>
      <c r="S36" s="508"/>
      <c r="T36" s="508"/>
      <c r="U36" s="508"/>
      <c r="V36" s="508"/>
      <c r="W36" s="508"/>
      <c r="X36" s="506"/>
      <c r="Y36" s="506"/>
      <c r="Z36" s="506"/>
      <c r="AA36" s="506"/>
      <c r="AC36" s="236"/>
      <c r="AD36" s="236"/>
      <c r="AE36" s="237" t="s">
        <v>58</v>
      </c>
      <c r="AF36" s="238"/>
      <c r="AG36" s="238"/>
      <c r="AH36" s="238"/>
      <c r="AI36" s="239" t="s">
        <v>22</v>
      </c>
      <c r="AJ36" s="237" t="s">
        <v>5</v>
      </c>
      <c r="AK36" s="238"/>
      <c r="AL36" s="237" t="s">
        <v>23</v>
      </c>
      <c r="AM36" s="238"/>
      <c r="AN36" s="238"/>
      <c r="AO36" s="238"/>
      <c r="AP36" s="238"/>
      <c r="AQ36" s="238" t="str">
        <f>IF(AI36&lt;&gt;" ",AI36," ")</f>
        <v>IG1</v>
      </c>
      <c r="AR36" s="238"/>
      <c r="AS36" s="240"/>
      <c r="AT36" s="241"/>
      <c r="AU36" s="241"/>
      <c r="AV36" s="241"/>
      <c r="AW36" s="241"/>
      <c r="AX36" s="241"/>
      <c r="AY36" s="241" t="s">
        <v>5</v>
      </c>
      <c r="AZ36" s="241"/>
      <c r="BA36" s="241" t="s">
        <v>24</v>
      </c>
      <c r="BB36" s="241"/>
      <c r="BC36" s="241"/>
      <c r="BD36" s="241"/>
      <c r="BE36" s="241"/>
      <c r="BF36" s="241"/>
      <c r="BG36" s="241"/>
      <c r="BH36" s="242" t="s">
        <v>10</v>
      </c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36"/>
      <c r="FK36" s="236"/>
      <c r="FL36" s="236"/>
      <c r="FM36" s="236"/>
    </row>
    <row r="37" spans="1:169" ht="24.95" customHeight="1" thickBot="1" x14ac:dyDescent="0.25">
      <c r="A37" s="511"/>
      <c r="B37" s="511"/>
      <c r="C37" s="836" t="s">
        <v>8</v>
      </c>
      <c r="D37" s="838"/>
      <c r="E37" s="837"/>
      <c r="F37" s="836" t="s">
        <v>16</v>
      </c>
      <c r="G37" s="838"/>
      <c r="H37" s="837"/>
      <c r="I37" s="836" t="s">
        <v>20</v>
      </c>
      <c r="J37" s="838"/>
      <c r="K37" s="838"/>
      <c r="L37" s="838"/>
      <c r="M37" s="838"/>
      <c r="N37" s="837"/>
      <c r="O37" s="836" t="s">
        <v>4</v>
      </c>
      <c r="P37" s="837"/>
      <c r="Q37" s="836" t="s">
        <v>12</v>
      </c>
      <c r="R37" s="838"/>
      <c r="S37" s="838"/>
      <c r="T37" s="838"/>
      <c r="U37" s="838"/>
      <c r="V37" s="838"/>
      <c r="W37" s="838"/>
      <c r="X37" s="838"/>
      <c r="Y37" s="837"/>
      <c r="Z37" s="836" t="s">
        <v>286</v>
      </c>
      <c r="AA37" s="837"/>
      <c r="AC37" s="236"/>
      <c r="AD37" s="236"/>
      <c r="AE37" s="237" t="s">
        <v>5</v>
      </c>
      <c r="AF37" s="237"/>
      <c r="AG37" s="239" t="s">
        <v>14</v>
      </c>
      <c r="AH37" s="237"/>
      <c r="AI37" s="237"/>
      <c r="AJ37" s="237"/>
      <c r="AK37" s="237"/>
      <c r="AL37" s="237" t="s">
        <v>5</v>
      </c>
      <c r="AM37" s="237"/>
      <c r="AN37" s="238"/>
      <c r="AO37" s="238"/>
      <c r="AP37" s="238"/>
      <c r="AQ37" s="238"/>
      <c r="AR37" s="238"/>
      <c r="AS37" s="240"/>
      <c r="AT37" s="241"/>
      <c r="AU37" s="241"/>
      <c r="AV37" s="241"/>
      <c r="AW37" s="241"/>
      <c r="AX37" s="241"/>
      <c r="AY37" s="241" t="s">
        <v>10</v>
      </c>
      <c r="AZ37" s="241"/>
      <c r="BA37" s="241" t="s">
        <v>25</v>
      </c>
      <c r="BB37" s="242" t="s">
        <v>26</v>
      </c>
      <c r="BC37" s="242" t="s">
        <v>27</v>
      </c>
      <c r="BD37" s="242" t="s">
        <v>28</v>
      </c>
      <c r="BE37" s="242" t="s">
        <v>29</v>
      </c>
      <c r="BF37" s="241" t="s">
        <v>30</v>
      </c>
      <c r="BG37" s="241"/>
      <c r="BH37" s="242" t="s">
        <v>31</v>
      </c>
      <c r="BI37" s="241"/>
      <c r="BJ37" s="241"/>
      <c r="BK37" s="241" t="s">
        <v>32</v>
      </c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36"/>
      <c r="FK37" s="236"/>
      <c r="FL37" s="236"/>
      <c r="FM37" s="236"/>
    </row>
    <row r="38" spans="1:169" ht="27.95" customHeight="1" x14ac:dyDescent="0.2">
      <c r="A38" s="807">
        <v>1</v>
      </c>
      <c r="B38" s="890"/>
      <c r="C38" s="862">
        <f>liste!A12</f>
        <v>4</v>
      </c>
      <c r="D38" s="863"/>
      <c r="E38" s="864"/>
      <c r="F38" s="811">
        <f>IF(C38="","",VLOOKUP(C38,liste!$A$9:$G$145,7,FALSE))</f>
        <v>7223188</v>
      </c>
      <c r="G38" s="812" t="e">
        <f>IF(F38="","",VLOOKUP(F38,liste!$A$9:$G$145,7,FALSE))</f>
        <v>#N/A</v>
      </c>
      <c r="H38" s="813" t="e">
        <f>IF(G38="","",VLOOKUP(G38,liste!$A$9:$G$145,7,FALSE))</f>
        <v>#N/A</v>
      </c>
      <c r="I38" s="849" t="str">
        <f>IF(C38="","",VLOOKUP(C38,liste!$A$9:$G$145,2,FALSE))</f>
        <v>MARCHAIS Théo</v>
      </c>
      <c r="J38" s="850"/>
      <c r="K38" s="850"/>
      <c r="L38" s="850"/>
      <c r="M38" s="850"/>
      <c r="N38" s="851"/>
      <c r="O38" s="883">
        <f>IF(C38="","",VLOOKUP(C38,liste!$A$9:$G$145,4,FALSE))</f>
        <v>5</v>
      </c>
      <c r="P38" s="884" t="str">
        <f>IF(J38="","",VLOOKUP(J38,liste!$A$9:$G$145,4,FALSE))</f>
        <v/>
      </c>
      <c r="Q38" s="857" t="str">
        <f>IF(C38="","",VLOOKUP(C38,liste!$A$9:$G$145,3,FALSE))</f>
        <v>RUAUDIN TENNIS DE TABLE</v>
      </c>
      <c r="R38" s="858"/>
      <c r="S38" s="858"/>
      <c r="T38" s="858"/>
      <c r="U38" s="858"/>
      <c r="V38" s="858"/>
      <c r="W38" s="858"/>
      <c r="X38" s="858"/>
      <c r="Y38" s="859"/>
      <c r="Z38" s="857">
        <f>IF(C38="","",VLOOKUP(C38,liste!$A$9:$G$145,6,FALSE))</f>
        <v>500</v>
      </c>
      <c r="AA38" s="859" t="str">
        <f>IF(U38="","",VLOOKUP(U38,liste!$A$9:$G$145,4,FALSE))</f>
        <v/>
      </c>
      <c r="AB38" s="600" t="str">
        <f>"D"&amp;X52&amp;C38</f>
        <v>D4</v>
      </c>
      <c r="AC38" s="236"/>
      <c r="AD38" s="236"/>
      <c r="AE38" s="237" t="s">
        <v>33</v>
      </c>
      <c r="AF38" s="239">
        <v>1</v>
      </c>
      <c r="AG38" s="243">
        <f>C38</f>
        <v>4</v>
      </c>
      <c r="AH38" s="237" t="s">
        <v>5</v>
      </c>
      <c r="AI38" s="237" t="s">
        <v>5</v>
      </c>
      <c r="AJ38" s="237"/>
      <c r="AK38" s="237"/>
      <c r="AL38" s="237" t="s">
        <v>34</v>
      </c>
      <c r="AM38" s="237" t="e">
        <f>IF($BK$38=1,$AF$38,IF($BK$39=1,$AF$39,IF($BK$40=1,$AF$40,IF($BK$41=1,$AF$41,""))))</f>
        <v>#VALUE!</v>
      </c>
      <c r="AN38" s="238"/>
      <c r="AO38" s="244" t="e">
        <f>VLOOKUP(AM38,AF38:AG41,2)</f>
        <v>#VALUE!</v>
      </c>
      <c r="AP38" s="238"/>
      <c r="AQ38" s="238"/>
      <c r="AR38" s="238"/>
      <c r="AS38" s="240" t="s">
        <v>5</v>
      </c>
      <c r="AT38" s="241"/>
      <c r="AU38" s="241"/>
      <c r="AV38" s="245" t="e">
        <f>BH38</f>
        <v>#VALUE!</v>
      </c>
      <c r="AW38" s="241"/>
      <c r="AX38" s="241" t="s">
        <v>33</v>
      </c>
      <c r="AY38" s="241" t="e">
        <f>CF47</f>
        <v>#VALUE!</v>
      </c>
      <c r="AZ38" s="241"/>
      <c r="BA38" s="242" t="e">
        <f>IF(DE47&gt;0,CX47/DE47,IF(CX47&gt;0,CX47/1,0))</f>
        <v>#VALUE!</v>
      </c>
      <c r="BB38" s="242" t="e">
        <f>IF(DS47&gt;0,IF(BA38=0,0,DL47/DS47),IF(DL47&gt;0,DL47/1,0))</f>
        <v>#VALUE!</v>
      </c>
      <c r="BC38" s="241" t="e">
        <f>IF(BA38&lt;&gt;0,IF(EG47&gt;0,DZ47/EG47,0),0)</f>
        <v>#VALUE!</v>
      </c>
      <c r="BD38" s="241" t="s">
        <v>5</v>
      </c>
      <c r="BE38" s="242" t="e">
        <f>IF(EU47&gt;0,IF(BC38=0,0,EN47/EU47),IF(EN47&gt;0,EN47/1,0))</f>
        <v>#VALUE!</v>
      </c>
      <c r="BF38" s="242" t="e">
        <f>IF(BE38&lt;&gt;0,IF(FI47&gt;0,FB47/FI47,0),0)</f>
        <v>#VALUE!</v>
      </c>
      <c r="BG38" s="242" t="s">
        <v>33</v>
      </c>
      <c r="BH38" s="246" t="e">
        <f>AY38+BA38*0.01+BB38*0.0001+BC38*0.000001+BE38*0.00000001+BF38*0.0000000001</f>
        <v>#VALUE!</v>
      </c>
      <c r="BI38" s="241"/>
      <c r="BJ38" s="241"/>
      <c r="BK38" s="242" t="e">
        <f>RANK(BH38,BH38:BH44,)</f>
        <v>#VALUE!</v>
      </c>
      <c r="BL38" s="242"/>
      <c r="BM38" s="242"/>
      <c r="BN38" s="242"/>
      <c r="BO38" s="242" t="e">
        <f>IF(BH38=MIN(BH38:BH43),4,IF(BH38=MAX(BH38:BH43),1,0))</f>
        <v>#VALUE!</v>
      </c>
      <c r="BP38" s="242" t="e">
        <f>IF(BO38=0,BH38,0)</f>
        <v>#VALUE!</v>
      </c>
      <c r="BQ38" s="242" t="e">
        <f>IF(BP38&lt;&gt;0,IF(BP38=MAX(BP38:BP43),2,IF(BP38=MIN(BP38:BP43),3,0)),0)</f>
        <v>#VALUE!</v>
      </c>
      <c r="BR38" s="242" t="e">
        <f>IF(AND(BO38=0,BQ38=0),3,0)</f>
        <v>#VALUE!</v>
      </c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36"/>
      <c r="FK38" s="236"/>
      <c r="FL38" s="236"/>
      <c r="FM38" s="236"/>
    </row>
    <row r="39" spans="1:169" ht="27.95" customHeight="1" x14ac:dyDescent="0.2">
      <c r="A39" s="809">
        <v>2</v>
      </c>
      <c r="B39" s="879"/>
      <c r="C39" s="801">
        <v>13</v>
      </c>
      <c r="D39" s="802"/>
      <c r="E39" s="803"/>
      <c r="F39" s="804">
        <f>IF(C39="","",VLOOKUP(C39,liste!$A$9:$G$145,7,FALSE))</f>
        <v>7223178</v>
      </c>
      <c r="G39" s="805" t="e">
        <f>IF(F39="","",VLOOKUP(F39,liste!$A$9:$G$145,7,FALSE))</f>
        <v>#N/A</v>
      </c>
      <c r="H39" s="806" t="e">
        <f>IF(G39="","",VLOOKUP(G39,liste!$A$9:$G$145,7,FALSE))</f>
        <v>#N/A</v>
      </c>
      <c r="I39" s="852" t="str">
        <f>IF(C39="","",VLOOKUP(C39,liste!$A$9:$G$145,2,FALSE))</f>
        <v>MANDOTE Jean</v>
      </c>
      <c r="J39" s="853"/>
      <c r="K39" s="853"/>
      <c r="L39" s="853"/>
      <c r="M39" s="853"/>
      <c r="N39" s="854"/>
      <c r="O39" s="855">
        <f>IF(C39="","",VLOOKUP(C39,liste!$A$9:$G$145,4,FALSE))</f>
        <v>5</v>
      </c>
      <c r="P39" s="856" t="str">
        <f>IF(J39="","",VLOOKUP(J39,liste!$A$9:$G$145,4,FALSE))</f>
        <v/>
      </c>
      <c r="Q39" s="829" t="str">
        <f>IF(C39="","",VLOOKUP(C39,liste!$A$9:$G$145,3,FALSE))</f>
        <v>FOULLETOURTE T.T.</v>
      </c>
      <c r="R39" s="830"/>
      <c r="S39" s="830"/>
      <c r="T39" s="830"/>
      <c r="U39" s="830"/>
      <c r="V39" s="830"/>
      <c r="W39" s="830"/>
      <c r="X39" s="830"/>
      <c r="Y39" s="831"/>
      <c r="Z39" s="829">
        <f>IF(C39="","",VLOOKUP(C39,liste!$A$9:$G$145,6,FALSE))</f>
        <v>500</v>
      </c>
      <c r="AA39" s="831" t="str">
        <f>IF(U39="","",VLOOKUP(U39,liste!$A$9:$G$145,4,FALSE))</f>
        <v/>
      </c>
      <c r="AB39" s="600" t="str">
        <f>"D"&amp;Y52&amp;C39</f>
        <v>D13</v>
      </c>
      <c r="AC39" s="236"/>
      <c r="AD39" s="236"/>
      <c r="AE39" s="237" t="s">
        <v>35</v>
      </c>
      <c r="AF39" s="239">
        <v>2</v>
      </c>
      <c r="AG39" s="243">
        <f>C39</f>
        <v>13</v>
      </c>
      <c r="AH39" s="237" t="s">
        <v>5</v>
      </c>
      <c r="AI39" s="237" t="s">
        <v>5</v>
      </c>
      <c r="AJ39" s="237"/>
      <c r="AK39" s="237"/>
      <c r="AL39" s="237" t="s">
        <v>59</v>
      </c>
      <c r="AM39" s="237" t="e">
        <f>IF($BK$38=2,$AF$38,IF($BK$39=2,$AF$39,IF($BK$40=2,$AF$40,IF($BK$41=2,$AF$41,""))))</f>
        <v>#VALUE!</v>
      </c>
      <c r="AN39" s="238"/>
      <c r="AO39" s="244" t="e">
        <f>VLOOKUP(AM39,AF38:AG41,2)</f>
        <v>#VALUE!</v>
      </c>
      <c r="AP39" s="238"/>
      <c r="AQ39" s="238"/>
      <c r="AR39" s="238"/>
      <c r="AS39" s="240" t="s">
        <v>5</v>
      </c>
      <c r="AT39" s="241"/>
      <c r="AU39" s="241"/>
      <c r="AV39" s="245" t="e">
        <f>BH39</f>
        <v>#VALUE!</v>
      </c>
      <c r="AW39" s="241"/>
      <c r="AX39" s="241" t="s">
        <v>35</v>
      </c>
      <c r="AY39" s="241" t="e">
        <f>CF48</f>
        <v>#VALUE!</v>
      </c>
      <c r="AZ39" s="241"/>
      <c r="BA39" s="242" t="e">
        <f>IF(DE48&gt;0,CX48/DE48,IF(CX48&gt;0,CX48/1,0))</f>
        <v>#VALUE!</v>
      </c>
      <c r="BB39" s="242" t="e">
        <f>IF(DS48&gt;0,IF(BA39=0,0,DL48/DS48),IF(DL48&gt;0,DL48/1,0))</f>
        <v>#VALUE!</v>
      </c>
      <c r="BC39" s="241" t="e">
        <f>IF(BA39&lt;&gt;0,IF(EG48&gt;0,DZ48/EG48,0),0)</f>
        <v>#VALUE!</v>
      </c>
      <c r="BD39" s="241" t="s">
        <v>5</v>
      </c>
      <c r="BE39" s="242" t="e">
        <f>IF(EU48&gt;0,IF(BC39=0,0,EN48/EU48),IF(EN48&gt;0,EN48/1,0))</f>
        <v>#VALUE!</v>
      </c>
      <c r="BF39" s="242" t="e">
        <f>IF(BE39&lt;&gt;0,IF(FI48&gt;0,FB48/FI48,0),0)</f>
        <v>#VALUE!</v>
      </c>
      <c r="BG39" s="242" t="s">
        <v>35</v>
      </c>
      <c r="BH39" s="246" t="e">
        <f>AY39+BA39*0.01+BB39*0.0001+BC39*0.000001+BE39*0.00000001+BF39*0.0000000001</f>
        <v>#VALUE!</v>
      </c>
      <c r="BI39" s="241"/>
      <c r="BJ39" s="241"/>
      <c r="BK39" s="242" t="e">
        <f>RANK(BH39,BH38:BH44,)</f>
        <v>#VALUE!</v>
      </c>
      <c r="BL39" s="242"/>
      <c r="BM39" s="242"/>
      <c r="BN39" s="242"/>
      <c r="BO39" s="242" t="e">
        <f>IF(BH39=MIN(BH38:BH43),4,IF(BH39=MAX(BH38:BH43),1,0))</f>
        <v>#VALUE!</v>
      </c>
      <c r="BP39" s="242" t="e">
        <f>IF(BO39=0,BH39,0)</f>
        <v>#VALUE!</v>
      </c>
      <c r="BQ39" s="242" t="e">
        <f>IF(BP39&lt;&gt;0,IF(BP39=MAX(BP38:BP43),2,IF(BP39=MIN(BP38:BP43),3,0)),0)</f>
        <v>#VALUE!</v>
      </c>
      <c r="BR39" s="242" t="e">
        <f>IF(AND(BO39=0,BQ39=0),3,0)</f>
        <v>#VALUE!</v>
      </c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36"/>
      <c r="FK39" s="236"/>
      <c r="FL39" s="236"/>
      <c r="FM39" s="236"/>
    </row>
    <row r="40" spans="1:169" ht="27.95" customHeight="1" x14ac:dyDescent="0.2">
      <c r="A40" s="809">
        <v>3</v>
      </c>
      <c r="B40" s="879"/>
      <c r="C40" s="801">
        <f>liste!A28</f>
        <v>20</v>
      </c>
      <c r="D40" s="802"/>
      <c r="E40" s="803"/>
      <c r="F40" s="804">
        <f>IF(C40="","",VLOOKUP(C40,liste!$A$9:$G$145,7,FALSE))</f>
        <v>7223665</v>
      </c>
      <c r="G40" s="805" t="e">
        <f>IF(F40="","",VLOOKUP(F40,liste!$A$9:$G$145,7,FALSE))</f>
        <v>#N/A</v>
      </c>
      <c r="H40" s="806" t="e">
        <f>IF(G40="","",VLOOKUP(G40,liste!$A$9:$G$145,7,FALSE))</f>
        <v>#N/A</v>
      </c>
      <c r="I40" s="852" t="str">
        <f>IF(C40="","",VLOOKUP(C40,liste!$A$9:$G$145,2,FALSE))</f>
        <v>XAVIER Hugo</v>
      </c>
      <c r="J40" s="853"/>
      <c r="K40" s="853"/>
      <c r="L40" s="853"/>
      <c r="M40" s="853"/>
      <c r="N40" s="854"/>
      <c r="O40" s="855">
        <f>IF(C40="","",VLOOKUP(C40,liste!$A$9:$G$145,4,FALSE))</f>
        <v>5</v>
      </c>
      <c r="P40" s="856" t="str">
        <f>IF(J40="","",VLOOKUP(J40,liste!$A$9:$G$145,4,FALSE))</f>
        <v/>
      </c>
      <c r="Q40" s="829" t="str">
        <f>IF(C40="","",VLOOKUP(C40,liste!$A$9:$G$145,3,FALSE))</f>
        <v>CHANGE TT</v>
      </c>
      <c r="R40" s="830"/>
      <c r="S40" s="830"/>
      <c r="T40" s="830"/>
      <c r="U40" s="830"/>
      <c r="V40" s="830"/>
      <c r="W40" s="830"/>
      <c r="X40" s="830"/>
      <c r="Y40" s="831"/>
      <c r="Z40" s="829">
        <f>IF(C40="","",VLOOKUP(C40,liste!$A$9:$G$145,6,FALSE))</f>
        <v>500</v>
      </c>
      <c r="AA40" s="831" t="str">
        <f>IF(U40="","",VLOOKUP(U40,liste!$A$9:$G$145,4,FALSE))</f>
        <v/>
      </c>
      <c r="AB40" s="600" t="str">
        <f>"D"&amp;Z52&amp;C40</f>
        <v>D20</v>
      </c>
      <c r="AC40" s="236"/>
      <c r="AD40" s="236"/>
      <c r="AE40" s="237" t="s">
        <v>36</v>
      </c>
      <c r="AF40" s="239">
        <v>3</v>
      </c>
      <c r="AG40" s="243">
        <f>C40</f>
        <v>20</v>
      </c>
      <c r="AH40" s="237" t="s">
        <v>5</v>
      </c>
      <c r="AI40" s="237" t="s">
        <v>5</v>
      </c>
      <c r="AJ40" s="237"/>
      <c r="AK40" s="237"/>
      <c r="AL40" s="237" t="s">
        <v>60</v>
      </c>
      <c r="AM40" s="237" t="e">
        <f>IF($BK$38=3,$AF$38,IF($BK$39=3,$AF$39,IF($BK$40=3,$AF$40,IF($BK$41=3,$AF$41,""))))</f>
        <v>#VALUE!</v>
      </c>
      <c r="AN40" s="238"/>
      <c r="AO40" s="244" t="e">
        <f>VLOOKUP(AM40,AF38:AG41,2)</f>
        <v>#VALUE!</v>
      </c>
      <c r="AP40" s="238"/>
      <c r="AQ40" s="238"/>
      <c r="AR40" s="238"/>
      <c r="AS40" s="240" t="s">
        <v>5</v>
      </c>
      <c r="AT40" s="241"/>
      <c r="AU40" s="241"/>
      <c r="AV40" s="245" t="e">
        <f>BH40</f>
        <v>#VALUE!</v>
      </c>
      <c r="AW40" s="241"/>
      <c r="AX40" s="241" t="s">
        <v>36</v>
      </c>
      <c r="AY40" s="241" t="e">
        <f>CF49</f>
        <v>#VALUE!</v>
      </c>
      <c r="AZ40" s="241"/>
      <c r="BA40" s="242" t="e">
        <f>IF(DE49&gt;0,CX49/DE49,IF(CX49&gt;0,CX49/1,0))</f>
        <v>#VALUE!</v>
      </c>
      <c r="BB40" s="242" t="e">
        <f>IF(DS49&gt;0,IF(BA40=0,0,DL49/DS49),IF(DL49&gt;0,DL49/1,0))</f>
        <v>#VALUE!</v>
      </c>
      <c r="BC40" s="241" t="e">
        <f>IF(BA40&lt;&gt;0,IF(EG49&gt;0,DZ49/EG49,0),0)</f>
        <v>#VALUE!</v>
      </c>
      <c r="BD40" s="241" t="s">
        <v>5</v>
      </c>
      <c r="BE40" s="242" t="e">
        <f>IF(EU49&gt;0,IF(BC40=0,0,EN49/EU49),IF(EN49&gt;0,EN49/1,0))</f>
        <v>#VALUE!</v>
      </c>
      <c r="BF40" s="242" t="e">
        <f>IF(BE40&lt;&gt;0,IF(FI49&gt;0,FB49/FI49,0),0)</f>
        <v>#VALUE!</v>
      </c>
      <c r="BG40" s="242" t="s">
        <v>36</v>
      </c>
      <c r="BH40" s="246" t="e">
        <f>AY40+BA40*0.01+BB40*0.0001+BC40*0.000001+BE40*0.00000001+BF40*0.0000000001</f>
        <v>#VALUE!</v>
      </c>
      <c r="BI40" s="241"/>
      <c r="BJ40" s="241"/>
      <c r="BK40" s="242" t="e">
        <f>RANK(BH40,BH38:BH44,)</f>
        <v>#VALUE!</v>
      </c>
      <c r="BL40" s="242"/>
      <c r="BM40" s="242"/>
      <c r="BN40" s="242"/>
      <c r="BO40" s="242" t="e">
        <f>IF(BH40=MIN(BH38:BH43),4,IF(BH40=MAX(BH38:BH43),1,0))</f>
        <v>#VALUE!</v>
      </c>
      <c r="BP40" s="242" t="e">
        <f>IF(BO40=0,BH40,0)</f>
        <v>#VALUE!</v>
      </c>
      <c r="BQ40" s="242" t="e">
        <f>IF(BP40&lt;&gt;0,IF(BP40=MAX(BP38:BP43),2,IF(BP40=MIN(BP38:BP43),3,0)),0)</f>
        <v>#VALUE!</v>
      </c>
      <c r="BR40" s="242" t="e">
        <f>IF(AND(BO40=0,BQ40=0),3,0)</f>
        <v>#VALUE!</v>
      </c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36"/>
      <c r="FK40" s="236"/>
      <c r="FL40" s="236"/>
      <c r="FM40" s="236"/>
    </row>
    <row r="41" spans="1:169" ht="27.95" customHeight="1" thickBot="1" x14ac:dyDescent="0.25">
      <c r="A41" s="872">
        <v>4</v>
      </c>
      <c r="B41" s="880"/>
      <c r="C41" s="865">
        <f>liste!A37</f>
        <v>29</v>
      </c>
      <c r="D41" s="866"/>
      <c r="E41" s="867"/>
      <c r="F41" s="814">
        <f>IF(C41="","",VLOOKUP(C41,liste!$A$9:$G$145,7,FALSE))</f>
        <v>0</v>
      </c>
      <c r="G41" s="815" t="e">
        <f>IF(F41="","",VLOOKUP(F41,liste!$A$9:$G$145,7,FALSE))</f>
        <v>#N/A</v>
      </c>
      <c r="H41" s="816" t="e">
        <f>IF(G41="","",VLOOKUP(G41,liste!$A$9:$G$145,7,FALSE))</f>
        <v>#N/A</v>
      </c>
      <c r="I41" s="826">
        <f>IF(C41="","",VLOOKUP(C41,liste!$A$9:$G$145,2,FALSE))</f>
        <v>0</v>
      </c>
      <c r="J41" s="827"/>
      <c r="K41" s="827"/>
      <c r="L41" s="827"/>
      <c r="M41" s="827"/>
      <c r="N41" s="828"/>
      <c r="O41" s="841">
        <f>IF(C41="","",VLOOKUP(C41,liste!$A$9:$G$145,4,FALSE))</f>
        <v>0</v>
      </c>
      <c r="P41" s="842" t="str">
        <f>IF(J41="","",VLOOKUP(J41,liste!$A$9:$G$145,4,FALSE))</f>
        <v/>
      </c>
      <c r="Q41" s="843">
        <f>IF(C41="","",VLOOKUP(C41,liste!$A$9:$G$145,3,FALSE))</f>
        <v>0</v>
      </c>
      <c r="R41" s="844"/>
      <c r="S41" s="844"/>
      <c r="T41" s="844"/>
      <c r="U41" s="844"/>
      <c r="V41" s="844"/>
      <c r="W41" s="844"/>
      <c r="X41" s="844"/>
      <c r="Y41" s="845"/>
      <c r="Z41" s="843">
        <f>IF(C41="","",VLOOKUP(C41,liste!$A$9:$G$145,6,FALSE))</f>
        <v>0</v>
      </c>
      <c r="AA41" s="845" t="str">
        <f>IF(U41="","",VLOOKUP(U41,liste!$A$9:$G$145,4,FALSE))</f>
        <v/>
      </c>
      <c r="AB41" s="600" t="str">
        <f>"D"&amp;AA52&amp;C41</f>
        <v>D29</v>
      </c>
      <c r="AC41" s="236"/>
      <c r="AD41" s="236"/>
      <c r="AE41" s="237" t="s">
        <v>61</v>
      </c>
      <c r="AF41" s="239">
        <v>4</v>
      </c>
      <c r="AG41" s="243">
        <f>C41</f>
        <v>29</v>
      </c>
      <c r="AH41" s="237" t="s">
        <v>5</v>
      </c>
      <c r="AI41" s="237" t="s">
        <v>5</v>
      </c>
      <c r="AJ41" s="237"/>
      <c r="AK41" s="237"/>
      <c r="AL41" s="237" t="s">
        <v>62</v>
      </c>
      <c r="AM41" s="237" t="e">
        <f>IF($BK$38=4,$AF$38,IF($BK$39=4,$AF$39,IF($BK$40=4,$AF$40,IF($BK$41=4,$AF$41,""))))</f>
        <v>#VALUE!</v>
      </c>
      <c r="AN41" s="238"/>
      <c r="AO41" s="244" t="e">
        <f>VLOOKUP(AM41,AF38:AG41,2)</f>
        <v>#VALUE!</v>
      </c>
      <c r="AP41" s="238"/>
      <c r="AQ41" s="238"/>
      <c r="AR41" s="238"/>
      <c r="AS41" s="240" t="s">
        <v>5</v>
      </c>
      <c r="AT41" s="247"/>
      <c r="AU41" s="241"/>
      <c r="AV41" s="245" t="e">
        <f>BH41</f>
        <v>#VALUE!</v>
      </c>
      <c r="AW41" s="241"/>
      <c r="AX41" s="241" t="s">
        <v>61</v>
      </c>
      <c r="AY41" s="241" t="e">
        <f>CF50</f>
        <v>#VALUE!</v>
      </c>
      <c r="AZ41" s="241"/>
      <c r="BA41" s="242" t="e">
        <f>IF(DE50&gt;0,CX50/DE50,IF(CX50&gt;0,CX50/1,0))</f>
        <v>#VALUE!</v>
      </c>
      <c r="BB41" s="242" t="e">
        <f>IF(DS50&gt;0,IF(BA41=0,0,DL50/DS50),IF(DL50&gt;0,DL50/1,0))</f>
        <v>#VALUE!</v>
      </c>
      <c r="BC41" s="241" t="e">
        <f>IF(BA41&lt;&gt;0,IF(EG50&gt;0,DZ50/EG50,0),0)</f>
        <v>#VALUE!</v>
      </c>
      <c r="BD41" s="241" t="s">
        <v>5</v>
      </c>
      <c r="BE41" s="242" t="e">
        <f>IF(EU50&gt;0,IF(BC41=0,0,EN50/EU50),IF(EN50&gt;0,EN50/1,0))</f>
        <v>#VALUE!</v>
      </c>
      <c r="BF41" s="241" t="e">
        <f>IF(BE41&lt;&gt;0,IF(FI50&gt;0,FB50/FI50,0),0)</f>
        <v>#VALUE!</v>
      </c>
      <c r="BG41" s="242" t="s">
        <v>61</v>
      </c>
      <c r="BH41" s="246" t="e">
        <f>AY41+BA41*0.01+BB41*0.0001+BC41*0.000001+BE41*0.00000001+BF41*0.0000000001</f>
        <v>#VALUE!</v>
      </c>
      <c r="BI41" s="241"/>
      <c r="BJ41" s="241"/>
      <c r="BK41" s="242" t="e">
        <f>RANK(BH41,BH38:BH44,)</f>
        <v>#VALUE!</v>
      </c>
      <c r="BL41" s="242"/>
      <c r="BM41" s="242"/>
      <c r="BN41" s="242"/>
      <c r="BO41" s="242" t="e">
        <f>IF(BH41=MIN(BH38:BH43),4,IF(BH41=MAX(BH38:BH43),1,0))</f>
        <v>#VALUE!</v>
      </c>
      <c r="BP41" s="242" t="e">
        <f>IF(BO41=0,BH41,0)</f>
        <v>#VALUE!</v>
      </c>
      <c r="BQ41" s="242" t="e">
        <f>IF(BP41&lt;&gt;0,IF(BP41=MAX(BP38:BP43),2,IF(BP41=MIN(BP38:BP43),3,0)),0)</f>
        <v>#VALUE!</v>
      </c>
      <c r="BR41" s="242" t="e">
        <f>IF(AND(BO41=0,BQ41=0),3,0)</f>
        <v>#VALUE!</v>
      </c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36"/>
      <c r="FK41" s="236"/>
      <c r="FL41" s="236"/>
      <c r="FM41" s="236"/>
    </row>
    <row r="42" spans="1:169" ht="21.95" customHeight="1" thickBot="1" x14ac:dyDescent="0.25">
      <c r="A42" s="503"/>
      <c r="B42" s="503"/>
      <c r="C42" s="503"/>
      <c r="D42" s="503"/>
      <c r="E42" s="503"/>
      <c r="F42" s="503"/>
      <c r="G42" s="503"/>
      <c r="H42" s="506"/>
      <c r="I42" s="506"/>
      <c r="J42" s="506"/>
      <c r="K42" s="506"/>
      <c r="L42" s="506"/>
      <c r="M42" s="506"/>
      <c r="N42" s="506"/>
      <c r="O42" s="508"/>
      <c r="P42" s="508"/>
      <c r="Q42" s="508"/>
      <c r="R42" s="508"/>
      <c r="S42" s="508"/>
      <c r="T42" s="508"/>
      <c r="U42" s="508"/>
      <c r="V42" s="508"/>
      <c r="W42" s="508"/>
      <c r="X42" s="515"/>
      <c r="Y42" s="515"/>
      <c r="Z42" s="515"/>
      <c r="AA42" s="515"/>
      <c r="AC42" s="236"/>
      <c r="AD42" s="236"/>
      <c r="AE42" s="238"/>
      <c r="AF42" s="244"/>
      <c r="AG42" s="238"/>
      <c r="AH42" s="238"/>
      <c r="AI42" s="238"/>
      <c r="AJ42" s="238"/>
      <c r="AK42" s="238"/>
      <c r="AL42" s="238"/>
      <c r="AM42" s="238"/>
      <c r="AN42" s="238"/>
      <c r="AO42" s="244"/>
      <c r="AP42" s="238"/>
      <c r="AQ42" s="238"/>
      <c r="AR42" s="238"/>
      <c r="AS42" s="241"/>
      <c r="AT42" s="241"/>
      <c r="AU42" s="241"/>
      <c r="AV42" s="241"/>
      <c r="AW42" s="241"/>
      <c r="AX42" s="241"/>
      <c r="AY42" s="241"/>
      <c r="AZ42" s="241"/>
      <c r="BA42" s="242"/>
      <c r="BB42" s="242"/>
      <c r="BC42" s="241"/>
      <c r="BD42" s="241"/>
      <c r="BE42" s="242"/>
      <c r="BF42" s="241"/>
      <c r="BG42" s="242"/>
      <c r="BH42" s="246"/>
      <c r="BI42" s="241"/>
      <c r="BJ42" s="241"/>
      <c r="BK42" s="242"/>
      <c r="BL42" s="242"/>
      <c r="BM42" s="242"/>
      <c r="BN42" s="242"/>
      <c r="BO42" s="242"/>
      <c r="BP42" s="242"/>
      <c r="BQ42" s="242"/>
      <c r="BR42" s="242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36"/>
      <c r="FK42" s="236"/>
      <c r="FL42" s="236"/>
      <c r="FM42" s="236"/>
    </row>
    <row r="43" spans="1:169" ht="21.95" customHeight="1" thickBot="1" x14ac:dyDescent="0.25">
      <c r="A43" s="503"/>
      <c r="B43" s="503"/>
      <c r="C43" s="503"/>
      <c r="D43" s="503"/>
      <c r="E43" s="503"/>
      <c r="F43" s="503"/>
      <c r="G43" s="503"/>
      <c r="H43" s="506"/>
      <c r="I43" s="506"/>
      <c r="J43" s="506"/>
      <c r="K43" s="506"/>
      <c r="L43" s="506"/>
      <c r="M43" s="506"/>
      <c r="N43" s="506"/>
      <c r="O43" s="508"/>
      <c r="P43" s="508"/>
      <c r="Q43" s="508"/>
      <c r="R43" s="839" t="s">
        <v>19</v>
      </c>
      <c r="S43" s="840"/>
      <c r="T43" s="840"/>
      <c r="U43" s="840"/>
      <c r="V43" s="840"/>
      <c r="W43" s="516"/>
      <c r="X43" s="836" t="s">
        <v>10</v>
      </c>
      <c r="Y43" s="838"/>
      <c r="Z43" s="838"/>
      <c r="AA43" s="837"/>
      <c r="AC43" s="236"/>
      <c r="AD43" s="236"/>
      <c r="AE43" s="248"/>
      <c r="AF43" s="249"/>
      <c r="AG43" s="248"/>
      <c r="AH43" s="248"/>
      <c r="AI43" s="248"/>
      <c r="AJ43" s="248"/>
      <c r="AK43" s="248"/>
      <c r="AL43" s="248"/>
      <c r="AM43" s="248"/>
      <c r="AN43" s="248"/>
      <c r="AO43" s="249"/>
      <c r="AP43" s="248"/>
      <c r="AQ43" s="248"/>
      <c r="AR43" s="248"/>
      <c r="AS43" s="241"/>
      <c r="AT43" s="241"/>
      <c r="AU43" s="241"/>
      <c r="AV43" s="241"/>
      <c r="AW43" s="241"/>
      <c r="AX43" s="241"/>
      <c r="AY43" s="241"/>
      <c r="AZ43" s="241"/>
      <c r="BA43" s="242"/>
      <c r="BB43" s="242"/>
      <c r="BC43" s="241"/>
      <c r="BD43" s="241"/>
      <c r="BE43" s="241"/>
      <c r="BF43" s="241"/>
      <c r="BG43" s="242"/>
      <c r="BH43" s="246"/>
      <c r="BI43" s="241"/>
      <c r="BJ43" s="241"/>
      <c r="BK43" s="242"/>
      <c r="BL43" s="242"/>
      <c r="BM43" s="242"/>
      <c r="BN43" s="242"/>
      <c r="BO43" s="242"/>
      <c r="BP43" s="242"/>
      <c r="BQ43" s="242"/>
      <c r="BR43" s="242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36"/>
      <c r="FK43" s="236"/>
      <c r="FL43" s="236"/>
      <c r="FM43" s="236"/>
    </row>
    <row r="44" spans="1:169" ht="21.95" customHeight="1" thickBot="1" x14ac:dyDescent="0.25">
      <c r="A44" s="517"/>
      <c r="B44" s="517"/>
      <c r="C44" s="517"/>
      <c r="D44" s="517"/>
      <c r="E44" s="518" t="s">
        <v>181</v>
      </c>
      <c r="F44" s="519" t="s">
        <v>178</v>
      </c>
      <c r="G44" s="517"/>
      <c r="H44" s="515"/>
      <c r="I44" s="515"/>
      <c r="J44" s="515"/>
      <c r="K44" s="515"/>
      <c r="L44" s="515"/>
      <c r="M44" s="515"/>
      <c r="N44" s="515"/>
      <c r="O44" s="520"/>
      <c r="P44" s="520"/>
      <c r="Q44" s="520"/>
      <c r="R44" s="521">
        <v>1</v>
      </c>
      <c r="S44" s="522">
        <v>2</v>
      </c>
      <c r="T44" s="522">
        <v>3</v>
      </c>
      <c r="U44" s="523">
        <v>4</v>
      </c>
      <c r="V44" s="524">
        <v>5</v>
      </c>
      <c r="W44" s="516"/>
      <c r="X44" s="525">
        <v>1</v>
      </c>
      <c r="Y44" s="526">
        <v>2</v>
      </c>
      <c r="Z44" s="526">
        <v>3</v>
      </c>
      <c r="AA44" s="527">
        <v>4</v>
      </c>
      <c r="AC44" s="236"/>
      <c r="AD44" s="236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2"/>
      <c r="BL44" s="242"/>
      <c r="BM44" s="242"/>
      <c r="BN44" s="242"/>
      <c r="BO44" s="242"/>
      <c r="BP44" s="242"/>
      <c r="BQ44" s="242"/>
      <c r="BR44" s="242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36"/>
      <c r="FK44" s="236"/>
      <c r="FL44" s="236"/>
      <c r="FM44" s="236"/>
    </row>
    <row r="45" spans="1:169" ht="27.95" customHeight="1" x14ac:dyDescent="0.2">
      <c r="A45" s="528">
        <v>1</v>
      </c>
      <c r="B45" s="529" t="s">
        <v>13</v>
      </c>
      <c r="C45" s="530">
        <v>4</v>
      </c>
      <c r="D45" s="531" t="str">
        <f>Rens!$F$4</f>
        <v>Sa</v>
      </c>
      <c r="E45" s="532">
        <f>Rens!$B$10</f>
        <v>0</v>
      </c>
      <c r="F45" s="533">
        <f>Rens!$C$10</f>
        <v>0</v>
      </c>
      <c r="G45" s="832" t="str">
        <f t="shared" ref="G45:G50" si="24" xml:space="preserve"> VLOOKUP(A45,$A$38:$O$41,9)</f>
        <v>MARCHAIS Théo</v>
      </c>
      <c r="H45" s="821"/>
      <c r="I45" s="821"/>
      <c r="J45" s="821"/>
      <c r="K45" s="821"/>
      <c r="L45" s="534" t="s">
        <v>9</v>
      </c>
      <c r="M45" s="821">
        <f t="shared" ref="M45:M50" si="25" xml:space="preserve"> VLOOKUP(C45,$A$38:$O$41,9)</f>
        <v>0</v>
      </c>
      <c r="N45" s="821"/>
      <c r="O45" s="821"/>
      <c r="P45" s="821"/>
      <c r="Q45" s="822"/>
      <c r="R45" s="588"/>
      <c r="S45" s="589"/>
      <c r="T45" s="589"/>
      <c r="U45" s="536"/>
      <c r="V45" s="536"/>
      <c r="W45" s="538"/>
      <c r="X45" s="539" t="str">
        <f>IF(AND(COUNTIF(($R45:$V45),"&gt;0")&gt;=2),1,IF(AND(COUNTIF(($R45:$V45),"&lt;0")&gt;=2),0,blanc))</f>
        <v xml:space="preserve"> </v>
      </c>
      <c r="Y45" s="540"/>
      <c r="Z45" s="540"/>
      <c r="AA45" s="541" t="str">
        <f>IF(AND(X45=0),1,IF(AND(X45=1),0,blanc))</f>
        <v xml:space="preserve"> </v>
      </c>
      <c r="AC45" s="236"/>
      <c r="AD45" s="236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>
        <f>BH45</f>
        <v>0</v>
      </c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 t="s">
        <v>41</v>
      </c>
      <c r="CT45" s="241"/>
      <c r="CU45" s="241"/>
      <c r="CV45" s="241"/>
      <c r="CW45" s="241"/>
      <c r="CX45" s="241"/>
      <c r="CY45" s="241"/>
      <c r="CZ45" s="241" t="s">
        <v>42</v>
      </c>
      <c r="DA45" s="241"/>
      <c r="DB45" s="241"/>
      <c r="DC45" s="241"/>
      <c r="DD45" s="241"/>
      <c r="DE45" s="236"/>
      <c r="DF45" s="241"/>
      <c r="DG45" s="241" t="s">
        <v>54</v>
      </c>
      <c r="DH45" s="241"/>
      <c r="DI45" s="241"/>
      <c r="DJ45" s="241"/>
      <c r="DK45" s="241"/>
      <c r="DL45" s="241"/>
      <c r="DM45" s="241"/>
      <c r="DN45" s="241" t="s">
        <v>55</v>
      </c>
      <c r="DO45" s="241"/>
      <c r="DP45" s="241"/>
      <c r="DQ45" s="241"/>
      <c r="DR45" s="241"/>
      <c r="DS45" s="241"/>
      <c r="DT45" s="241"/>
      <c r="DU45" s="241" t="s">
        <v>43</v>
      </c>
      <c r="DV45" s="241"/>
      <c r="DW45" s="241"/>
      <c r="DX45" s="241"/>
      <c r="DY45" s="241"/>
      <c r="DZ45" s="241"/>
      <c r="EA45" s="241"/>
      <c r="EB45" s="241" t="s">
        <v>44</v>
      </c>
      <c r="EC45" s="241"/>
      <c r="ED45" s="241"/>
      <c r="EE45" s="241"/>
      <c r="EF45" s="241"/>
      <c r="EG45" s="241"/>
      <c r="EH45" s="241"/>
      <c r="EI45" s="241" t="s">
        <v>56</v>
      </c>
      <c r="EJ45" s="241"/>
      <c r="EK45" s="241"/>
      <c r="EL45" s="241"/>
      <c r="EM45" s="241"/>
      <c r="EN45" s="241"/>
      <c r="EO45" s="241"/>
      <c r="EP45" s="241" t="s">
        <v>57</v>
      </c>
      <c r="EQ45" s="241"/>
      <c r="ER45" s="241"/>
      <c r="ES45" s="241"/>
      <c r="ET45" s="241"/>
      <c r="EU45" s="241"/>
      <c r="EV45" s="241"/>
      <c r="EW45" s="241" t="s">
        <v>45</v>
      </c>
      <c r="EX45" s="241"/>
      <c r="EY45" s="241"/>
      <c r="EZ45" s="241"/>
      <c r="FA45" s="241"/>
      <c r="FB45" s="241"/>
      <c r="FC45" s="241"/>
      <c r="FD45" s="241" t="s">
        <v>46</v>
      </c>
      <c r="FE45" s="241"/>
      <c r="FF45" s="241"/>
      <c r="FG45" s="241"/>
      <c r="FH45" s="241"/>
      <c r="FI45" s="241"/>
      <c r="FJ45" s="236"/>
      <c r="FK45" s="236"/>
      <c r="FL45" s="236"/>
      <c r="FM45" s="236"/>
    </row>
    <row r="46" spans="1:169" ht="27.95" customHeight="1" thickBot="1" x14ac:dyDescent="0.25">
      <c r="A46" s="542">
        <v>2</v>
      </c>
      <c r="B46" s="543" t="s">
        <v>13</v>
      </c>
      <c r="C46" s="544">
        <v>3</v>
      </c>
      <c r="D46" s="545"/>
      <c r="E46" s="546">
        <f>E45+0.021</f>
        <v>2.1000000000000001E-2</v>
      </c>
      <c r="F46" s="547">
        <f>F45</f>
        <v>0</v>
      </c>
      <c r="G46" s="817" t="str">
        <f t="shared" si="24"/>
        <v>MANDOTE Jean</v>
      </c>
      <c r="H46" s="818"/>
      <c r="I46" s="818"/>
      <c r="J46" s="818"/>
      <c r="K46" s="818"/>
      <c r="L46" s="548" t="s">
        <v>9</v>
      </c>
      <c r="M46" s="818" t="str">
        <f t="shared" si="25"/>
        <v>XAVIER Hugo</v>
      </c>
      <c r="N46" s="818"/>
      <c r="O46" s="818"/>
      <c r="P46" s="818"/>
      <c r="Q46" s="823"/>
      <c r="R46" s="549"/>
      <c r="S46" s="550"/>
      <c r="T46" s="550"/>
      <c r="U46" s="551"/>
      <c r="V46" s="551"/>
      <c r="W46" s="538"/>
      <c r="X46" s="553"/>
      <c r="Y46" s="554" t="str">
        <f>IF(AND(COUNTIF(($R46:$V46),"&gt;0")&gt;=2),1,IF(AND(COUNTIF(($R46:$V46),"&lt;0")&gt;=2),0,blanc))</f>
        <v xml:space="preserve"> </v>
      </c>
      <c r="Z46" s="554" t="str">
        <f>IF(AND(Y46=0),1,IF(AND(Y46=1),0,blanc))</f>
        <v xml:space="preserve"> </v>
      </c>
      <c r="AA46" s="555"/>
      <c r="AC46" s="236"/>
      <c r="AD46" s="236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 t="s">
        <v>33</v>
      </c>
      <c r="BV46" s="241" t="s">
        <v>5</v>
      </c>
      <c r="BW46" s="241" t="s">
        <v>35</v>
      </c>
      <c r="BX46" s="241"/>
      <c r="BY46" s="241" t="s">
        <v>36</v>
      </c>
      <c r="BZ46" s="241"/>
      <c r="CA46" s="241" t="s">
        <v>61</v>
      </c>
      <c r="CB46" s="241"/>
      <c r="CC46" s="241"/>
      <c r="CD46" s="241"/>
      <c r="CE46" s="241"/>
      <c r="CF46" s="250" t="s">
        <v>52</v>
      </c>
      <c r="CG46" s="250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51" t="s">
        <v>33</v>
      </c>
      <c r="CT46" s="242" t="s">
        <v>35</v>
      </c>
      <c r="CU46" s="242" t="s">
        <v>36</v>
      </c>
      <c r="CV46" s="242" t="s">
        <v>61</v>
      </c>
      <c r="CW46" s="242"/>
      <c r="CX46" s="252"/>
      <c r="CY46" s="241"/>
      <c r="CZ46" s="251" t="s">
        <v>33</v>
      </c>
      <c r="DA46" s="242" t="s">
        <v>35</v>
      </c>
      <c r="DB46" s="242" t="s">
        <v>36</v>
      </c>
      <c r="DC46" s="242" t="s">
        <v>61</v>
      </c>
      <c r="DD46" s="242"/>
      <c r="DE46" s="236"/>
      <c r="DF46" s="241"/>
      <c r="DG46" s="251" t="s">
        <v>33</v>
      </c>
      <c r="DH46" s="242" t="s">
        <v>35</v>
      </c>
      <c r="DI46" s="242" t="s">
        <v>36</v>
      </c>
      <c r="DJ46" s="242" t="s">
        <v>61</v>
      </c>
      <c r="DK46" s="242"/>
      <c r="DL46" s="252"/>
      <c r="DM46" s="241"/>
      <c r="DN46" s="251" t="s">
        <v>33</v>
      </c>
      <c r="DO46" s="242" t="s">
        <v>35</v>
      </c>
      <c r="DP46" s="242" t="s">
        <v>36</v>
      </c>
      <c r="DQ46" s="242" t="s">
        <v>61</v>
      </c>
      <c r="DR46" s="242"/>
      <c r="DS46" s="249"/>
      <c r="DT46" s="236"/>
      <c r="DU46" s="251" t="s">
        <v>33</v>
      </c>
      <c r="DV46" s="242" t="s">
        <v>35</v>
      </c>
      <c r="DW46" s="242" t="s">
        <v>36</v>
      </c>
      <c r="DX46" s="242" t="s">
        <v>61</v>
      </c>
      <c r="DY46" s="242"/>
      <c r="DZ46" s="249"/>
      <c r="EA46" s="236"/>
      <c r="EB46" s="251" t="s">
        <v>33</v>
      </c>
      <c r="EC46" s="242" t="s">
        <v>35</v>
      </c>
      <c r="ED46" s="242" t="s">
        <v>36</v>
      </c>
      <c r="EE46" s="242" t="s">
        <v>61</v>
      </c>
      <c r="EF46" s="242"/>
      <c r="EG46" s="252"/>
      <c r="EH46" s="236"/>
      <c r="EI46" s="251" t="s">
        <v>33</v>
      </c>
      <c r="EJ46" s="242" t="s">
        <v>35</v>
      </c>
      <c r="EK46" s="242" t="s">
        <v>36</v>
      </c>
      <c r="EL46" s="242" t="s">
        <v>61</v>
      </c>
      <c r="EM46" s="242"/>
      <c r="EN46" s="252"/>
      <c r="EO46" s="236"/>
      <c r="EP46" s="251" t="s">
        <v>33</v>
      </c>
      <c r="EQ46" s="242" t="s">
        <v>35</v>
      </c>
      <c r="ER46" s="242" t="s">
        <v>36</v>
      </c>
      <c r="ES46" s="242" t="s">
        <v>61</v>
      </c>
      <c r="ET46" s="242"/>
      <c r="EU46" s="242"/>
      <c r="EV46" s="236"/>
      <c r="EW46" s="251" t="s">
        <v>33</v>
      </c>
      <c r="EX46" s="242" t="s">
        <v>35</v>
      </c>
      <c r="EY46" s="242" t="s">
        <v>36</v>
      </c>
      <c r="EZ46" s="242" t="s">
        <v>61</v>
      </c>
      <c r="FA46" s="242"/>
      <c r="FB46" s="242"/>
      <c r="FC46" s="236"/>
      <c r="FD46" s="251" t="s">
        <v>33</v>
      </c>
      <c r="FE46" s="242" t="s">
        <v>35</v>
      </c>
      <c r="FF46" s="242" t="s">
        <v>36</v>
      </c>
      <c r="FG46" s="242" t="s">
        <v>61</v>
      </c>
      <c r="FH46" s="242"/>
      <c r="FI46" s="252"/>
      <c r="FJ46" s="236"/>
      <c r="FK46" s="236"/>
      <c r="FL46" s="236"/>
      <c r="FM46" s="236"/>
    </row>
    <row r="47" spans="1:169" ht="27.95" customHeight="1" thickTop="1" x14ac:dyDescent="0.2">
      <c r="A47" s="542">
        <v>1</v>
      </c>
      <c r="B47" s="543" t="s">
        <v>13</v>
      </c>
      <c r="C47" s="544">
        <v>3</v>
      </c>
      <c r="D47" s="545" t="str">
        <f>D45</f>
        <v>Sa</v>
      </c>
      <c r="E47" s="546">
        <f>E46+0.021</f>
        <v>4.2000000000000003E-2</v>
      </c>
      <c r="F47" s="547">
        <f>F45</f>
        <v>0</v>
      </c>
      <c r="G47" s="817" t="str">
        <f t="shared" si="24"/>
        <v>MARCHAIS Théo</v>
      </c>
      <c r="H47" s="818"/>
      <c r="I47" s="818"/>
      <c r="J47" s="818"/>
      <c r="K47" s="818"/>
      <c r="L47" s="548" t="s">
        <v>9</v>
      </c>
      <c r="M47" s="818" t="str">
        <f t="shared" si="25"/>
        <v>XAVIER Hugo</v>
      </c>
      <c r="N47" s="818"/>
      <c r="O47" s="818"/>
      <c r="P47" s="818"/>
      <c r="Q47" s="823"/>
      <c r="R47" s="556"/>
      <c r="S47" s="551"/>
      <c r="T47" s="551"/>
      <c r="U47" s="551"/>
      <c r="V47" s="551"/>
      <c r="W47" s="538"/>
      <c r="X47" s="557" t="str">
        <f>IF(AND(COUNTIF(($R47:$V47),"&gt;0")&gt;=2),1,IF(AND(COUNTIF(($R47:$V47),"&lt;0")&gt;=2),0,blanc))</f>
        <v xml:space="preserve"> </v>
      </c>
      <c r="Y47" s="558"/>
      <c r="Z47" s="554" t="str">
        <f>IF(AND(X47=0),1,IF(AND(X47=1),0,blanc))</f>
        <v xml:space="preserve"> </v>
      </c>
      <c r="AA47" s="555"/>
      <c r="AC47" s="253" t="s">
        <v>37</v>
      </c>
      <c r="AD47" s="254" t="str">
        <f>AI36</f>
        <v>IG1</v>
      </c>
      <c r="AE47" s="255"/>
      <c r="AF47" s="256" t="s">
        <v>64</v>
      </c>
      <c r="AG47" s="257"/>
      <c r="AH47" s="256" t="s">
        <v>65</v>
      </c>
      <c r="AI47" s="257"/>
      <c r="AJ47" s="256" t="s">
        <v>66</v>
      </c>
      <c r="AK47" s="257"/>
      <c r="AL47" s="256" t="s">
        <v>67</v>
      </c>
      <c r="AM47" s="258"/>
      <c r="AN47" s="256" t="s">
        <v>68</v>
      </c>
      <c r="AO47" s="259"/>
      <c r="AP47" s="260" t="s">
        <v>38</v>
      </c>
      <c r="AQ47" s="261"/>
      <c r="AR47" s="261"/>
      <c r="AS47" s="261"/>
      <c r="AT47" s="262"/>
      <c r="AU47" s="263"/>
      <c r="AV47" s="264"/>
      <c r="AW47" s="264"/>
      <c r="AX47" s="264"/>
      <c r="AY47" s="265" t="s">
        <v>38</v>
      </c>
      <c r="AZ47" s="255"/>
      <c r="BA47" s="255"/>
      <c r="BB47" s="255"/>
      <c r="BC47" s="266" t="s">
        <v>69</v>
      </c>
      <c r="BD47" s="255"/>
      <c r="BE47" s="255"/>
      <c r="BF47" s="255"/>
      <c r="BG47" s="255"/>
      <c r="BH47" s="255"/>
      <c r="BI47" s="255"/>
      <c r="BJ47" s="255"/>
      <c r="BK47" s="255"/>
      <c r="BL47" s="266" t="s">
        <v>39</v>
      </c>
      <c r="BM47" s="266" t="s">
        <v>40</v>
      </c>
      <c r="BN47" s="266"/>
      <c r="BO47" s="267"/>
      <c r="BQ47" s="268"/>
      <c r="BR47" s="248"/>
      <c r="BS47" s="237" t="str">
        <f>AE38</f>
        <v>A</v>
      </c>
      <c r="BT47" s="269"/>
      <c r="BU47" s="269"/>
      <c r="BV47" s="237" t="str">
        <f>BH53</f>
        <v>M</v>
      </c>
      <c r="BW47" s="237" t="e">
        <f>BL53</f>
        <v>#VALUE!</v>
      </c>
      <c r="BX47" s="237" t="str">
        <f>BH51</f>
        <v>M</v>
      </c>
      <c r="BY47" s="237" t="e">
        <f>BL51</f>
        <v>#VALUE!</v>
      </c>
      <c r="BZ47" s="237" t="str">
        <f>BH49</f>
        <v>M</v>
      </c>
      <c r="CA47" s="270" t="e">
        <f>BL49</f>
        <v>#VALUE!</v>
      </c>
      <c r="CB47" s="248"/>
      <c r="CC47" s="248"/>
      <c r="CD47" s="271"/>
      <c r="CE47" s="271"/>
      <c r="CF47" s="249" t="e">
        <f t="shared" ref="CF47:CF53" si="26">SUM(CH47:CL47)</f>
        <v>#VALUE!</v>
      </c>
      <c r="CG47" s="242" t="e">
        <f t="shared" ref="CG47:CG53" si="27">SUM(CM47:CQ47)</f>
        <v>#VALUE!</v>
      </c>
      <c r="CH47" s="237" t="e">
        <f>IF(BV47&gt;BW47,1,0)</f>
        <v>#VALUE!</v>
      </c>
      <c r="CI47" s="237" t="e">
        <f>IF(BX47&gt;BY47,1,0)</f>
        <v>#VALUE!</v>
      </c>
      <c r="CJ47" s="237" t="e">
        <f>IF(BZ47&gt;CA47,1,0)</f>
        <v>#VALUE!</v>
      </c>
      <c r="CK47" s="237">
        <f>IF(CB47&gt;CC47,1,0)</f>
        <v>0</v>
      </c>
      <c r="CL47" s="237">
        <f>IF(CD47&gt;CE47,1,0)</f>
        <v>0</v>
      </c>
      <c r="CM47" s="272" t="e">
        <f>IF(BV47&lt;BW47,1,0)</f>
        <v>#VALUE!</v>
      </c>
      <c r="CN47" s="237" t="e">
        <f>IF(BX47&lt;BY47,1,0)</f>
        <v>#VALUE!</v>
      </c>
      <c r="CO47" s="237" t="e">
        <f>IF(BZ47&lt;CA47,1,0)</f>
        <v>#VALUE!</v>
      </c>
      <c r="CP47" s="237">
        <f>IF(CB47&lt;CC47,1,0)</f>
        <v>0</v>
      </c>
      <c r="CQ47" s="237">
        <f>IF(CD47&lt;CE47,1,0)</f>
        <v>0</v>
      </c>
      <c r="CR47" s="237" t="s">
        <v>33</v>
      </c>
      <c r="CS47" s="273" t="s">
        <v>53</v>
      </c>
      <c r="CT47" s="239" t="e">
        <f>IF(CF47=CF48,AY53,"xxx")</f>
        <v>#VALUE!</v>
      </c>
      <c r="CU47" s="239" t="e">
        <f>IF(CF47=CF49,AY51,"xxx")</f>
        <v>#VALUE!</v>
      </c>
      <c r="CV47" s="239" t="e">
        <f>IF(CF47=CF50,AY49,"xxx")</f>
        <v>#VALUE!</v>
      </c>
      <c r="CW47" s="274"/>
      <c r="CX47" s="249" t="e">
        <f>SUM(CS47:CW47)</f>
        <v>#VALUE!</v>
      </c>
      <c r="CY47" s="237" t="s">
        <v>33</v>
      </c>
      <c r="CZ47" s="273" t="s">
        <v>53</v>
      </c>
      <c r="DA47" s="239" t="e">
        <f>IF(CF47=CF48,AZ53,"xxx")</f>
        <v>#VALUE!</v>
      </c>
      <c r="DB47" s="239" t="e">
        <f>IF(CF47=CF49,BA51,"xxx")</f>
        <v>#VALUE!</v>
      </c>
      <c r="DC47" s="239" t="e">
        <f>IF(CF47=CF50,BB49,"xxx")</f>
        <v>#VALUE!</v>
      </c>
      <c r="DD47" s="274"/>
      <c r="DE47" s="249" t="e">
        <f>SUM(CZ47:DD47)</f>
        <v>#VALUE!</v>
      </c>
      <c r="DF47" s="237" t="s">
        <v>33</v>
      </c>
      <c r="DG47" s="273" t="s">
        <v>53</v>
      </c>
      <c r="DH47" s="239" t="e">
        <f>IF(AND(BA38&lt;&gt;0,AY38=AY39),IF(BA38=BA39,AY53,"xxx"),"xxx")</f>
        <v>#VALUE!</v>
      </c>
      <c r="DI47" s="239" t="e">
        <f>IF(AND(BA38&lt;&gt;0,AY38=AY40),IF(BA38=BA40,AY51,"xxx"),"xxx")</f>
        <v>#VALUE!</v>
      </c>
      <c r="DJ47" s="239" t="e">
        <f>IF(AND(BA38&lt;&gt;0,AY38=AY41),IF(BA38=BA41,AY49,"xxx"),"xxx")</f>
        <v>#VALUE!</v>
      </c>
      <c r="DK47" s="274"/>
      <c r="DL47" s="249" t="e">
        <f>SUM(DG47:DK47)</f>
        <v>#VALUE!</v>
      </c>
      <c r="DM47" s="237" t="s">
        <v>33</v>
      </c>
      <c r="DN47" s="273" t="s">
        <v>53</v>
      </c>
      <c r="DO47" s="239" t="e">
        <f>IF(AND(BA38&lt;&gt;0,AY38=AY39),IF(BA38=BA39,AZ53,"xxx"),"xxx")</f>
        <v>#VALUE!</v>
      </c>
      <c r="DP47" s="239" t="e">
        <f>IF(AND(BA38&lt;&gt;0,AY38=AY40),IF(BA38=BA40,BA51,"xxx"),"xxx")</f>
        <v>#VALUE!</v>
      </c>
      <c r="DQ47" s="239" t="e">
        <f>IF(AND(BA38&lt;&gt;0,AY38=AY41),IF(BA38=BA41,BB49,"xxx"),"xxx")</f>
        <v>#VALUE!</v>
      </c>
      <c r="DR47" s="274"/>
      <c r="DS47" s="249" t="e">
        <f>SUM(DN47:DR47)</f>
        <v>#VALUE!</v>
      </c>
      <c r="DT47" s="237" t="s">
        <v>33</v>
      </c>
      <c r="DU47" s="273" t="s">
        <v>53</v>
      </c>
      <c r="DV47" s="239" t="e">
        <f>IF(AND(CF47=CF48,BA38=BA39),BH53,"kkk")</f>
        <v>#VALUE!</v>
      </c>
      <c r="DW47" s="239" t="e">
        <f>IF(AND(CF47=CF49,BA38=BA40),BH51,"kkk")</f>
        <v>#VALUE!</v>
      </c>
      <c r="DX47" s="239" t="e">
        <f>IF(AND(CF47=CF50,BA38=BA41),BH49,"kkk")</f>
        <v>#VALUE!</v>
      </c>
      <c r="DY47" s="274"/>
      <c r="DZ47" s="249" t="e">
        <f>SUM(DU47:DY47)</f>
        <v>#VALUE!</v>
      </c>
      <c r="EA47" s="237" t="s">
        <v>33</v>
      </c>
      <c r="EB47" s="273" t="s">
        <v>53</v>
      </c>
      <c r="EC47" s="239" t="e">
        <f>IF(AND(CF47=CF48,BA38=BA39),BL53,"kkk")</f>
        <v>#VALUE!</v>
      </c>
      <c r="ED47" s="239" t="e">
        <f>IF(AND(CF47=CF49,BA38=BA40),BL51,"kkk")</f>
        <v>#VALUE!</v>
      </c>
      <c r="EE47" s="239" t="e">
        <f>IF(AND(CF47=CF50,BA38=BA41),BL49,"kkk")</f>
        <v>#VALUE!</v>
      </c>
      <c r="EF47" s="274"/>
      <c r="EG47" s="249" t="e">
        <f>SUM(EB47:EF47)</f>
        <v>#VALUE!</v>
      </c>
      <c r="EH47" s="237" t="s">
        <v>33</v>
      </c>
      <c r="EI47" s="273" t="s">
        <v>53</v>
      </c>
      <c r="EJ47" s="239" t="e">
        <f>IF(BD38&lt;&gt;"ùùù",IF(AND(CF47=CF48,BD38=BD39),BH53,"kkk"),"kkk")</f>
        <v>#VALUE!</v>
      </c>
      <c r="EK47" s="239" t="e">
        <f>IF(BD38&lt;&gt;"ùùù",IF(AND(CF47=CF49,BD38=BD40),BH51,"kkk"),"kkk")</f>
        <v>#VALUE!</v>
      </c>
      <c r="EL47" s="239" t="e">
        <f>IF(BD38&lt;&gt;"ùùù",IF(AND(CF47=CF50,BD38=BD41),BH49,"kkk"),"kkk")</f>
        <v>#VALUE!</v>
      </c>
      <c r="EM47" s="274"/>
      <c r="EN47" s="249" t="e">
        <f>SUM(EI47:EM47)</f>
        <v>#VALUE!</v>
      </c>
      <c r="EO47" s="237" t="s">
        <v>33</v>
      </c>
      <c r="EP47" s="273" t="s">
        <v>53</v>
      </c>
      <c r="EQ47" s="239" t="e">
        <f>IF(BD38&lt;&gt;"ùùù",IF(AND(CF47=CF48,BD38=BD39),BL53,"kkk"),"kkk")</f>
        <v>#VALUE!</v>
      </c>
      <c r="ER47" s="239" t="e">
        <f>IF(BD38&lt;&gt;"ùùù",IF(AND(CF47=CF49,BD38=BD40),BL51,"kkk"),"kkk")</f>
        <v>#VALUE!</v>
      </c>
      <c r="ES47" s="239" t="e">
        <f>IF(BD38&lt;&gt;"ùùù",IF(AND(CF47=CF50,BD38=BD41),BL49,"kkk"),"kkk")</f>
        <v>#VALUE!</v>
      </c>
      <c r="ET47" s="274"/>
      <c r="EU47" s="249" t="e">
        <f>SUM(EP47:ET47)</f>
        <v>#VALUE!</v>
      </c>
      <c r="EV47" s="237" t="s">
        <v>33</v>
      </c>
      <c r="EW47" s="273" t="s">
        <v>53</v>
      </c>
      <c r="EX47" s="239" t="e">
        <f>IF(AND(CF47=CF48,BC38=BC39),+AF53+AH53+AJ53+AL53+AN53,"xxx")</f>
        <v>#VALUE!</v>
      </c>
      <c r="EY47" s="239" t="e">
        <f>IF(AND(CF47=CF49,BC38=BC40),+AF51+AH51+AJ51+AL51+AN51,"xxx")</f>
        <v>#VALUE!</v>
      </c>
      <c r="EZ47" s="239" t="e">
        <f>IF(AND(CF47=CF50,BC38=BC41),+AF49+AH49+AJ49+AL49+AN49,"xxx")</f>
        <v>#VALUE!</v>
      </c>
      <c r="FA47" s="274"/>
      <c r="FB47" s="249" t="e">
        <f>SUM(EW47:FA47)</f>
        <v>#VALUE!</v>
      </c>
      <c r="FC47" s="237" t="s">
        <v>33</v>
      </c>
      <c r="FD47" s="273" t="s">
        <v>53</v>
      </c>
      <c r="FE47" s="239" t="e">
        <f>IF(AND(CF47=CF48,BC38=BC39),+AG53+AI53+AK53+AM53+AO53,"xxx")</f>
        <v>#VALUE!</v>
      </c>
      <c r="FF47" s="239" t="e">
        <f>IF(AND(CF47=CF49,BC38=BC40),+AG51+AI51+AK51+AM51+AO51,"xxx")</f>
        <v>#VALUE!</v>
      </c>
      <c r="FG47" s="239" t="e">
        <f>IF(AND(CF47=CF50,BC38=BC41),+AG49+AI49+AK49+AM49+AO49,"xxx")</f>
        <v>#VALUE!</v>
      </c>
      <c r="FH47" s="274"/>
      <c r="FI47" s="249" t="e">
        <f>SUM(FD47:FH47)</f>
        <v>#VALUE!</v>
      </c>
      <c r="FJ47" s="264"/>
      <c r="FK47" s="264"/>
      <c r="FL47" s="264"/>
      <c r="FM47" s="264"/>
    </row>
    <row r="48" spans="1:169" ht="27.95" customHeight="1" x14ac:dyDescent="0.2">
      <c r="A48" s="542">
        <v>2</v>
      </c>
      <c r="B48" s="543" t="s">
        <v>13</v>
      </c>
      <c r="C48" s="544">
        <v>4</v>
      </c>
      <c r="D48" s="545"/>
      <c r="E48" s="546">
        <f>E47+0.021</f>
        <v>6.3E-2</v>
      </c>
      <c r="F48" s="547">
        <f>F45</f>
        <v>0</v>
      </c>
      <c r="G48" s="817" t="str">
        <f t="shared" si="24"/>
        <v>MANDOTE Jean</v>
      </c>
      <c r="H48" s="818"/>
      <c r="I48" s="818"/>
      <c r="J48" s="818"/>
      <c r="K48" s="818"/>
      <c r="L48" s="548" t="s">
        <v>9</v>
      </c>
      <c r="M48" s="818">
        <f t="shared" si="25"/>
        <v>0</v>
      </c>
      <c r="N48" s="818"/>
      <c r="O48" s="818"/>
      <c r="P48" s="818"/>
      <c r="Q48" s="823"/>
      <c r="R48" s="590"/>
      <c r="S48" s="591"/>
      <c r="T48" s="591"/>
      <c r="U48" s="551"/>
      <c r="V48" s="551"/>
      <c r="W48" s="538"/>
      <c r="X48" s="553"/>
      <c r="Y48" s="554" t="str">
        <f>IF(AND(COUNTIF(($R48:$V48),"&gt;0")&gt;=2),1,IF(AND(COUNTIF(($R48:$V48),"&lt;0")&gt;=2),0,blanc))</f>
        <v xml:space="preserve"> </v>
      </c>
      <c r="Z48" s="558"/>
      <c r="AA48" s="559" t="str">
        <f>IF(AND(Y48=0),1,IF(AND(Y48=1),0,blanc))</f>
        <v xml:space="preserve"> </v>
      </c>
      <c r="AC48" s="896" t="s">
        <v>47</v>
      </c>
      <c r="AD48" s="897"/>
      <c r="AE48" s="341" t="s">
        <v>48</v>
      </c>
      <c r="AF48" s="342" t="s">
        <v>49</v>
      </c>
      <c r="AG48" s="239" t="s">
        <v>50</v>
      </c>
      <c r="AH48" s="239" t="s">
        <v>49</v>
      </c>
      <c r="AI48" s="239" t="s">
        <v>50</v>
      </c>
      <c r="AJ48" s="239" t="s">
        <v>49</v>
      </c>
      <c r="AK48" s="239" t="s">
        <v>50</v>
      </c>
      <c r="AL48" s="239" t="s">
        <v>49</v>
      </c>
      <c r="AM48" s="239" t="s">
        <v>50</v>
      </c>
      <c r="AN48" s="239" t="s">
        <v>49</v>
      </c>
      <c r="AO48" s="239" t="s">
        <v>50</v>
      </c>
      <c r="AP48" s="279" t="s">
        <v>33</v>
      </c>
      <c r="AQ48" s="239" t="s">
        <v>35</v>
      </c>
      <c r="AR48" s="239" t="s">
        <v>36</v>
      </c>
      <c r="AS48" s="239" t="s">
        <v>61</v>
      </c>
      <c r="AT48" s="280"/>
      <c r="AU48" s="252"/>
      <c r="AV48" s="247"/>
      <c r="AW48" s="247"/>
      <c r="AX48" s="247"/>
      <c r="AY48" s="281" t="s">
        <v>33</v>
      </c>
      <c r="AZ48" s="239" t="s">
        <v>35</v>
      </c>
      <c r="BA48" s="239" t="s">
        <v>36</v>
      </c>
      <c r="BB48" s="239" t="s">
        <v>61</v>
      </c>
      <c r="BC48" s="239">
        <v>1</v>
      </c>
      <c r="BD48" s="239">
        <v>2</v>
      </c>
      <c r="BE48" s="239">
        <v>3</v>
      </c>
      <c r="BF48" s="239">
        <v>4</v>
      </c>
      <c r="BG48" s="239">
        <v>5</v>
      </c>
      <c r="BH48" s="239" t="s">
        <v>40</v>
      </c>
      <c r="BI48" s="239" t="s">
        <v>51</v>
      </c>
      <c r="BJ48" s="239"/>
      <c r="BK48" s="239"/>
      <c r="BL48" s="239" t="s">
        <v>70</v>
      </c>
      <c r="BM48" s="239" t="s">
        <v>40</v>
      </c>
      <c r="BN48" s="239"/>
      <c r="BO48" s="282"/>
      <c r="BQ48" s="268"/>
      <c r="BR48" s="248"/>
      <c r="BS48" s="237" t="str">
        <f>AE39</f>
        <v>B</v>
      </c>
      <c r="BT48" s="237" t="e">
        <f>BW47</f>
        <v>#VALUE!</v>
      </c>
      <c r="BU48" s="237" t="str">
        <f>BV47</f>
        <v>M</v>
      </c>
      <c r="BV48" s="269"/>
      <c r="BW48" s="269"/>
      <c r="BX48" s="237" t="str">
        <f>BH50</f>
        <v>M</v>
      </c>
      <c r="BY48" s="237" t="e">
        <f>BL50</f>
        <v>#VALUE!</v>
      </c>
      <c r="BZ48" s="237" t="str">
        <f>BH52</f>
        <v>M</v>
      </c>
      <c r="CA48" s="270" t="e">
        <f>BL52</f>
        <v>#VALUE!</v>
      </c>
      <c r="CB48" s="248"/>
      <c r="CC48" s="248"/>
      <c r="CD48" s="271"/>
      <c r="CE48" s="271"/>
      <c r="CF48" s="249" t="e">
        <f t="shared" si="26"/>
        <v>#VALUE!</v>
      </c>
      <c r="CG48" s="242" t="e">
        <f t="shared" si="27"/>
        <v>#VALUE!</v>
      </c>
      <c r="CH48" s="237" t="e">
        <f>IF(BT48&gt;BU48,1,0)</f>
        <v>#VALUE!</v>
      </c>
      <c r="CI48" s="237" t="e">
        <f>IF(BX48&gt;BY48,1,0)</f>
        <v>#VALUE!</v>
      </c>
      <c r="CJ48" s="237" t="e">
        <f>IF(BZ48&gt;CA48,1,0)</f>
        <v>#VALUE!</v>
      </c>
      <c r="CK48" s="237">
        <f>IF(CB48&gt;CC48,1,0)</f>
        <v>0</v>
      </c>
      <c r="CL48" s="237">
        <f>IF(CD48&gt;CE48,1,0)</f>
        <v>0</v>
      </c>
      <c r="CM48" s="272" t="e">
        <f>IF(BT48&lt;BU48,1,0)</f>
        <v>#VALUE!</v>
      </c>
      <c r="CN48" s="237" t="e">
        <f>IF(BX48&lt;BY48,1,0)</f>
        <v>#VALUE!</v>
      </c>
      <c r="CO48" s="237" t="e">
        <f>IF(BZ48&lt;CA48,1,0)</f>
        <v>#VALUE!</v>
      </c>
      <c r="CP48" s="237">
        <f>IF(CB48&lt;CC48,1,0)</f>
        <v>0</v>
      </c>
      <c r="CQ48" s="237">
        <f>IF(CD48&lt;CE48,1,0)</f>
        <v>0</v>
      </c>
      <c r="CR48" s="237" t="s">
        <v>35</v>
      </c>
      <c r="CS48" s="239" t="e">
        <f>IF(CF48=CF47,AZ53,"xxx")</f>
        <v>#VALUE!</v>
      </c>
      <c r="CT48" s="273" t="s">
        <v>53</v>
      </c>
      <c r="CU48" s="239" t="e">
        <f>IF(CF48=CF49,AZ50,"xxx")</f>
        <v>#VALUE!</v>
      </c>
      <c r="CV48" s="239" t="e">
        <f>IF(CF48=CF50,AZ52,"xxx")</f>
        <v>#VALUE!</v>
      </c>
      <c r="CW48" s="274"/>
      <c r="CX48" s="249" t="e">
        <f>SUM(CS48:CW48)</f>
        <v>#VALUE!</v>
      </c>
      <c r="CY48" s="237" t="s">
        <v>35</v>
      </c>
      <c r="CZ48" s="239" t="e">
        <f>IF(CF48=CF47,AY53,"xxx")</f>
        <v>#VALUE!</v>
      </c>
      <c r="DA48" s="273" t="s">
        <v>53</v>
      </c>
      <c r="DB48" s="239" t="e">
        <f>IF(CF48=CF49,BA50,"xxx")</f>
        <v>#VALUE!</v>
      </c>
      <c r="DC48" s="239" t="e">
        <f>IF(CF48=CF50,BB52,"xxx")</f>
        <v>#VALUE!</v>
      </c>
      <c r="DD48" s="274"/>
      <c r="DE48" s="249" t="e">
        <f>SUM(CZ48:DD48)</f>
        <v>#VALUE!</v>
      </c>
      <c r="DF48" s="237" t="s">
        <v>35</v>
      </c>
      <c r="DG48" s="239" t="e">
        <f>IF(AND(BA39&lt;&gt;0,AY39=AY38),IF(BA39=BA38,AZ53,"xxx"),"xxx")</f>
        <v>#VALUE!</v>
      </c>
      <c r="DH48" s="273" t="s">
        <v>53</v>
      </c>
      <c r="DI48" s="239" t="e">
        <f>IF(AND(BA39&lt;&gt;0,AY39=AY40),IF(BA39=BA40,AZ50,"xxx"),"xxx")</f>
        <v>#VALUE!</v>
      </c>
      <c r="DJ48" s="239" t="e">
        <f>IF(AND(BA39&lt;&gt;0,AY39=AY41),IF(BA39=BA41,AZ52,"xxx"),"xxx")</f>
        <v>#VALUE!</v>
      </c>
      <c r="DK48" s="274"/>
      <c r="DL48" s="249" t="e">
        <f>SUM(DG48:DK48)</f>
        <v>#VALUE!</v>
      </c>
      <c r="DM48" s="237" t="s">
        <v>35</v>
      </c>
      <c r="DN48" s="239" t="e">
        <f>IF(AND(BA39&lt;&gt;0,AY39=AY38),IF(BA39=BA38,AY53,"xxx"),"xxx")</f>
        <v>#VALUE!</v>
      </c>
      <c r="DO48" s="273" t="s">
        <v>53</v>
      </c>
      <c r="DP48" s="239" t="e">
        <f>IF(AND(BA39&lt;&gt;0,AY39=AY40),IF(BA39=BA40,BA50,"xxx"),"xxx")</f>
        <v>#VALUE!</v>
      </c>
      <c r="DQ48" s="239" t="e">
        <f>IF(AND(BA39&lt;&gt;0,AY39=AY41),IF(BA39=BA41,BB52,"xxx"),"xxx")</f>
        <v>#VALUE!</v>
      </c>
      <c r="DR48" s="274"/>
      <c r="DS48" s="249" t="e">
        <f>SUM(DN48:DR48)</f>
        <v>#VALUE!</v>
      </c>
      <c r="DT48" s="237" t="s">
        <v>35</v>
      </c>
      <c r="DU48" s="239" t="e">
        <f>IF(AND(CF48=CF47,BA39=BA38),BL53,"kkk")</f>
        <v>#VALUE!</v>
      </c>
      <c r="DV48" s="273" t="s">
        <v>53</v>
      </c>
      <c r="DW48" s="239" t="e">
        <f>IF(AND(CF48=CF49,BA39=BA40),BH50,"kkk")</f>
        <v>#VALUE!</v>
      </c>
      <c r="DX48" s="239" t="e">
        <f>IF(AND(CF48=CF50,BA39=BA41),BH52,"kkk")</f>
        <v>#VALUE!</v>
      </c>
      <c r="DY48" s="274"/>
      <c r="DZ48" s="249" t="e">
        <f>SUM(DU48:DY48)</f>
        <v>#VALUE!</v>
      </c>
      <c r="EA48" s="237" t="s">
        <v>35</v>
      </c>
      <c r="EB48" s="239" t="e">
        <f>IF(AND(CF48=CF47,BA39=BA38),BH53,"kkk")</f>
        <v>#VALUE!</v>
      </c>
      <c r="EC48" s="273" t="s">
        <v>53</v>
      </c>
      <c r="ED48" s="239" t="e">
        <f>IF(AND(CF48=CF49,BA39=BA40),BL50,"kkk")</f>
        <v>#VALUE!</v>
      </c>
      <c r="EE48" s="239" t="e">
        <f>IF(AND(CF48=CF50,BA39=BA41),BL52,"kkk")</f>
        <v>#VALUE!</v>
      </c>
      <c r="EF48" s="274"/>
      <c r="EG48" s="249" t="e">
        <f>SUM(EB48:EF48)</f>
        <v>#VALUE!</v>
      </c>
      <c r="EH48" s="237" t="s">
        <v>35</v>
      </c>
      <c r="EI48" s="239" t="e">
        <f>IF(BD39&lt;&gt;"ùùù",IF(AND(CF48=CF47,BD39=BD38),BL53,"kkk"),"kkk")</f>
        <v>#VALUE!</v>
      </c>
      <c r="EJ48" s="273" t="s">
        <v>53</v>
      </c>
      <c r="EK48" s="239" t="e">
        <f>IF(BD39&lt;&gt;"ùùù",IF(AND(CF48=CF49,BD39=BD40),BH50,"kkk"),"kkk")</f>
        <v>#VALUE!</v>
      </c>
      <c r="EL48" s="239" t="e">
        <f>IF(BD39&lt;&gt;"ùùù",IF(AND(CF48=CF50,BD39=BD41),BH52,"kkk"),"kkk")</f>
        <v>#VALUE!</v>
      </c>
      <c r="EM48" s="274"/>
      <c r="EN48" s="249" t="e">
        <f>SUM(EI48:EM48)</f>
        <v>#VALUE!</v>
      </c>
      <c r="EO48" s="237" t="s">
        <v>35</v>
      </c>
      <c r="EP48" s="239" t="e">
        <f>IF(BD39&lt;&gt;"ùùù",IF(AND(CF48=CF47,BD39=BD38),BH53,"kkk"),"kkk")</f>
        <v>#VALUE!</v>
      </c>
      <c r="EQ48" s="273" t="s">
        <v>53</v>
      </c>
      <c r="ER48" s="239" t="e">
        <f>IF(BD39&lt;&gt;"ùùù",IF(AND(CF48=CF49,BD39=BD40),BL50,"kkk"),"kkk")</f>
        <v>#VALUE!</v>
      </c>
      <c r="ES48" s="239" t="e">
        <f>IF(BD39&lt;&gt;"ùùù",IF(AND(CF48=CF50,BD39=BD41),BL52,"kkk"),"kkk")</f>
        <v>#VALUE!</v>
      </c>
      <c r="ET48" s="274"/>
      <c r="EU48" s="249" t="e">
        <f>SUM(EP48:ET48)</f>
        <v>#VALUE!</v>
      </c>
      <c r="EV48" s="237" t="s">
        <v>35</v>
      </c>
      <c r="EW48" s="239" t="e">
        <f>IF(AND(CF48=CF47,BC39=BC38),+AG53+AI53+AK53+AM53+AO53,"xxx")</f>
        <v>#VALUE!</v>
      </c>
      <c r="EX48" s="273" t="s">
        <v>53</v>
      </c>
      <c r="EY48" s="239" t="e">
        <f>IF(AND(CF48=CF49,BC39=BC40),+AF50+AH50+AJ50+AL50+AN50,"xxx")</f>
        <v>#VALUE!</v>
      </c>
      <c r="EZ48" s="239" t="e">
        <f>IF(AND(CF48=CF50,BC39=BC41),+AF52+AH52+AJ52+AL52+AN52,"xxx")</f>
        <v>#VALUE!</v>
      </c>
      <c r="FA48" s="274"/>
      <c r="FB48" s="249" t="e">
        <f>SUM(EW48:FA48)</f>
        <v>#VALUE!</v>
      </c>
      <c r="FC48" s="237" t="s">
        <v>35</v>
      </c>
      <c r="FD48" s="239" t="e">
        <f>IF(AND(CF48=CF47,BC39=BC38),+AF53+AH53+AJ53+AL53+AN53,"xxx")</f>
        <v>#VALUE!</v>
      </c>
      <c r="FE48" s="273" t="s">
        <v>53</v>
      </c>
      <c r="FF48" s="239" t="e">
        <f>IF(AND(CF48=CF49,BC39=BC40),+AG50+AI50+AK50+AM50+AO50,"xxx")</f>
        <v>#VALUE!</v>
      </c>
      <c r="FG48" s="239" t="e">
        <f>IF(AND(CF48=CF50,BC39=BC41),+AG52+AI52+AK52+AM52+AO52,"xxx")</f>
        <v>#VALUE!</v>
      </c>
      <c r="FH48" s="274"/>
      <c r="FI48" s="249" t="e">
        <f>SUM(FD48:FH48)</f>
        <v>#VALUE!</v>
      </c>
      <c r="FJ48" s="247"/>
      <c r="FK48" s="247"/>
      <c r="FL48" s="247"/>
      <c r="FM48" s="247"/>
    </row>
    <row r="49" spans="1:169" ht="27.95" customHeight="1" x14ac:dyDescent="0.2">
      <c r="A49" s="542">
        <v>1</v>
      </c>
      <c r="B49" s="543" t="s">
        <v>13</v>
      </c>
      <c r="C49" s="544">
        <v>2</v>
      </c>
      <c r="D49" s="545" t="str">
        <f>D45</f>
        <v>Sa</v>
      </c>
      <c r="E49" s="546">
        <f>E48+0.021</f>
        <v>8.4000000000000005E-2</v>
      </c>
      <c r="F49" s="547">
        <f>F45</f>
        <v>0</v>
      </c>
      <c r="G49" s="817" t="str">
        <f t="shared" si="24"/>
        <v>MARCHAIS Théo</v>
      </c>
      <c r="H49" s="818"/>
      <c r="I49" s="818"/>
      <c r="J49" s="818"/>
      <c r="K49" s="818"/>
      <c r="L49" s="548" t="s">
        <v>9</v>
      </c>
      <c r="M49" s="818" t="str">
        <f t="shared" si="25"/>
        <v>MANDOTE Jean</v>
      </c>
      <c r="N49" s="818"/>
      <c r="O49" s="818"/>
      <c r="P49" s="818"/>
      <c r="Q49" s="823"/>
      <c r="R49" s="556"/>
      <c r="S49" s="551"/>
      <c r="T49" s="551"/>
      <c r="U49" s="551"/>
      <c r="V49" s="551"/>
      <c r="W49" s="538"/>
      <c r="X49" s="557" t="str">
        <f>IF(AND(COUNTIF(($R49:$V49),"&gt;0")&gt;=2),1,IF(AND(COUNTIF(($R49:$V49),"&lt;0")&gt;=2),0,blanc))</f>
        <v xml:space="preserve"> </v>
      </c>
      <c r="Y49" s="554" t="str">
        <f>IF(AND(X49=0),1,IF(AND(X49=1),0,blanc))</f>
        <v xml:space="preserve"> </v>
      </c>
      <c r="Z49" s="558"/>
      <c r="AA49" s="555"/>
      <c r="AC49" s="283">
        <f>IF(AF38&lt;&gt;" ",AF38," ")</f>
        <v>1</v>
      </c>
      <c r="AD49" s="284">
        <f>IF(AF41&lt;&gt;" ",AF41," ")</f>
        <v>4</v>
      </c>
      <c r="AE49" s="285" t="str">
        <f t="shared" ref="AE49:AE54" si="28">IF(AK49&lt;&gt;0,IF(BI49&lt;0,AD49,AC49),IF(BI49=2,AC49,IF(BI49=-2,AD49," ")))</f>
        <v xml:space="preserve"> </v>
      </c>
      <c r="AF49" s="286">
        <f t="shared" ref="AF49:AF54" si="29">IF(R45=0,0,IF(R45&lt;0,-R45,IF(R45&lt;10,11,R45+2)))</f>
        <v>0</v>
      </c>
      <c r="AG49" s="287">
        <f t="shared" ref="AG49:AG54" si="30">IF(R45=0,0,IF(R45&gt;0,R45,IF(R45&gt;-10,11,-R45+2)))</f>
        <v>0</v>
      </c>
      <c r="AH49" s="284">
        <f t="shared" ref="AH49:AH54" si="31">IF(S45=0,0,IF(S45&lt;0,-S45,IF(S45&lt;10,11,S45+2)))</f>
        <v>0</v>
      </c>
      <c r="AI49" s="287">
        <f t="shared" ref="AI49:AI54" si="32">IF(S45=0,0,IF(S45&gt;0,S45,IF(S45&gt;-10,11,-S45+2)))</f>
        <v>0</v>
      </c>
      <c r="AJ49" s="288">
        <f t="shared" ref="AJ49:AJ54" si="33">IF(T45=0,0,IF(T45&lt;0,-T45,IF(T45&lt;10,11,T45+2)))</f>
        <v>0</v>
      </c>
      <c r="AK49" s="287">
        <f t="shared" ref="AK49:AK54" si="34">IF(T45=0,0,IF(T45&gt;0,T45,IF(T45&gt;-10,11,-T45+2)))</f>
        <v>0</v>
      </c>
      <c r="AL49" s="288">
        <f t="shared" ref="AL49:AL54" si="35">IF(U45=0,0,IF(U45&lt;0,-U45,IF(U45&lt;10,11,U45+2)))</f>
        <v>0</v>
      </c>
      <c r="AM49" s="287">
        <f t="shared" ref="AM49:AM54" si="36">IF(U45=0,0,IF(U45&gt;0,U45,IF(U45&gt;-10,11,-U45+2)))</f>
        <v>0</v>
      </c>
      <c r="AN49" s="288">
        <f t="shared" ref="AN49:AN54" si="37">IF(V45=0,0,IF(V45&lt;0,-V45,IF(V45&lt;10,11,V45+2)))</f>
        <v>0</v>
      </c>
      <c r="AO49" s="289">
        <f t="shared" ref="AO49:AO54" si="38">IF(V45=0,0,IF(V45&gt;0,V45,IF(V45&gt;-10,11,-V45+2)))</f>
        <v>0</v>
      </c>
      <c r="AP49" s="290">
        <f>IF(BI49&gt;0,1,0)</f>
        <v>0</v>
      </c>
      <c r="AR49" s="291"/>
      <c r="AS49" s="290">
        <f>IF(BI49&lt;0,1,0)</f>
        <v>0</v>
      </c>
      <c r="AT49" s="292"/>
      <c r="AU49" s="252"/>
      <c r="AV49" s="236"/>
      <c r="AW49" s="236"/>
      <c r="AX49" s="236"/>
      <c r="AY49" s="293">
        <f>IF(BI49&gt;0,1,0)</f>
        <v>0</v>
      </c>
      <c r="BA49" s="294"/>
      <c r="BB49" s="295">
        <f>IF(BI49&lt;0,1,0)</f>
        <v>0</v>
      </c>
      <c r="BC49" s="296">
        <f t="shared" ref="BC49:BC54" si="39">IF(AF49&lt;&gt;0,IF(AF49&gt;AG49,1,-1),0)</f>
        <v>0</v>
      </c>
      <c r="BD49" s="296">
        <f t="shared" ref="BD49:BD54" si="40">IF(AH49&lt;&gt;0,IF(AH49&gt;AI49,1,-1),0)</f>
        <v>0</v>
      </c>
      <c r="BE49" s="296">
        <f t="shared" ref="BE49:BE54" si="41">IF(AJ49&lt;&gt;0,IF(AJ49&gt;AK49,1,-1),0)</f>
        <v>0</v>
      </c>
      <c r="BF49" s="296">
        <f t="shared" ref="BF49:BF54" si="42">IF(AL49&lt;&gt;0,IF(AL49&gt;AM49,1,-1),0)</f>
        <v>0</v>
      </c>
      <c r="BG49" s="296">
        <f t="shared" ref="BG49:BG54" si="43">IF(AN49&lt;&gt;0,IF(AN49&gt;AO49,1,-1),0)</f>
        <v>0</v>
      </c>
      <c r="BH49" s="296" t="str">
        <f t="shared" ref="BH49:BH54" si="44">IF(BM49=0,"M",IF(BI49&gt;0,3,IF(BI49=0,"N",3+BI49)))</f>
        <v>M</v>
      </c>
      <c r="BI49" s="296">
        <f t="shared" ref="BI49:BI54" si="45">SUM(BC49:BG49)</f>
        <v>0</v>
      </c>
      <c r="BJ49" s="296"/>
      <c r="BK49" s="296"/>
      <c r="BL49" s="296" t="e">
        <f t="shared" ref="BL49:BL54" si="46">BM49-BH49</f>
        <v>#VALUE!</v>
      </c>
      <c r="BM49" s="296">
        <f t="shared" ref="BM49:BM54" si="47">ABS(BC49)+ABS(BD49)+ABS(BE49)+ABS(BF49)+ABS(BG49)</f>
        <v>0</v>
      </c>
      <c r="BN49" s="296"/>
      <c r="BO49" s="297"/>
      <c r="BQ49" s="268"/>
      <c r="BR49" s="248"/>
      <c r="BS49" s="237" t="str">
        <f>AE40</f>
        <v>C</v>
      </c>
      <c r="BT49" s="237" t="e">
        <f>BY47</f>
        <v>#VALUE!</v>
      </c>
      <c r="BU49" s="237" t="str">
        <f>BX47</f>
        <v>M</v>
      </c>
      <c r="BV49" s="237" t="e">
        <f>BY48</f>
        <v>#VALUE!</v>
      </c>
      <c r="BW49" s="237" t="str">
        <f>BX48</f>
        <v>M</v>
      </c>
      <c r="BX49" s="269"/>
      <c r="BY49" s="269"/>
      <c r="BZ49" s="237" t="str">
        <f>BH54</f>
        <v>M</v>
      </c>
      <c r="CA49" s="270" t="e">
        <f>BL54</f>
        <v>#VALUE!</v>
      </c>
      <c r="CB49" s="248"/>
      <c r="CC49" s="248"/>
      <c r="CD49" s="271"/>
      <c r="CE49" s="271"/>
      <c r="CF49" s="249" t="e">
        <f t="shared" si="26"/>
        <v>#VALUE!</v>
      </c>
      <c r="CG49" s="242" t="e">
        <f t="shared" si="27"/>
        <v>#VALUE!</v>
      </c>
      <c r="CH49" s="237" t="e">
        <f>IF(BT49&gt;BU49,1,0)</f>
        <v>#VALUE!</v>
      </c>
      <c r="CI49" s="237" t="e">
        <f>IF(BV49&gt;BW49,1,0)</f>
        <v>#VALUE!</v>
      </c>
      <c r="CJ49" s="237" t="e">
        <f>IF(BZ49&gt;CA49,1,0)</f>
        <v>#VALUE!</v>
      </c>
      <c r="CK49" s="237">
        <f>IF(CB49&gt;CC49,1,0)</f>
        <v>0</v>
      </c>
      <c r="CL49" s="237">
        <f>IF(CD49&gt;CE49,1,0)</f>
        <v>0</v>
      </c>
      <c r="CM49" s="272" t="e">
        <f>IF(BT49&lt;BU49,1,0)</f>
        <v>#VALUE!</v>
      </c>
      <c r="CN49" s="237" t="e">
        <f>IF(BV49&lt;BW49,1,0)</f>
        <v>#VALUE!</v>
      </c>
      <c r="CO49" s="237" t="e">
        <f>IF(BZ49&lt;CA49,1,0)</f>
        <v>#VALUE!</v>
      </c>
      <c r="CP49" s="237">
        <f>IF(CB49&lt;CC49,1,0)</f>
        <v>0</v>
      </c>
      <c r="CQ49" s="237">
        <f>IF(CD49&lt;CE49,1,0)</f>
        <v>0</v>
      </c>
      <c r="CR49" s="237" t="s">
        <v>36</v>
      </c>
      <c r="CS49" s="239" t="e">
        <f>IF(CF49=CF47,BA51,"xxx")</f>
        <v>#VALUE!</v>
      </c>
      <c r="CT49" s="239" t="e">
        <f>IF(CF49=CF48,BA50,"xxx")</f>
        <v>#VALUE!</v>
      </c>
      <c r="CU49" s="273" t="s">
        <v>53</v>
      </c>
      <c r="CV49" s="239" t="e">
        <f>IF(CF49=CF50,BA54,"xxx")</f>
        <v>#VALUE!</v>
      </c>
      <c r="CW49" s="274"/>
      <c r="CX49" s="249" t="e">
        <f>SUM(CS49:CW49)</f>
        <v>#VALUE!</v>
      </c>
      <c r="CY49" s="237" t="s">
        <v>36</v>
      </c>
      <c r="CZ49" s="239" t="e">
        <f>IF(CF49=CF47,AY51,"xxx")</f>
        <v>#VALUE!</v>
      </c>
      <c r="DA49" s="239" t="e">
        <f>IF(CF49=CF48,AZ50,"xxx")</f>
        <v>#VALUE!</v>
      </c>
      <c r="DB49" s="273" t="s">
        <v>53</v>
      </c>
      <c r="DC49" s="239" t="e">
        <f>IF(CF49=CF50,BB54,"xxx")</f>
        <v>#VALUE!</v>
      </c>
      <c r="DD49" s="274"/>
      <c r="DE49" s="249" t="e">
        <f>SUM(CZ49:DD49)</f>
        <v>#VALUE!</v>
      </c>
      <c r="DF49" s="237" t="s">
        <v>36</v>
      </c>
      <c r="DG49" s="239" t="e">
        <f>IF(AND(BA40&lt;&gt;0,AY40=AY38),IF(BA40=BA38,BA51,"xxx"),"xxx")</f>
        <v>#VALUE!</v>
      </c>
      <c r="DH49" s="239" t="e">
        <f>IF(AND(BA40&lt;&gt;0,AY40=AY39),IF(BA40=BA39,BA50,"xxx"),"xxx")</f>
        <v>#VALUE!</v>
      </c>
      <c r="DI49" s="273" t="s">
        <v>53</v>
      </c>
      <c r="DJ49" s="239" t="e">
        <f>IF(AND(BA40&lt;&gt;0,AY40=AY41),IF(BA40=BA41,BA54,"xxx"),"xxx")</f>
        <v>#VALUE!</v>
      </c>
      <c r="DK49" s="274"/>
      <c r="DL49" s="249" t="e">
        <f>SUM(DG49:DK49)</f>
        <v>#VALUE!</v>
      </c>
      <c r="DM49" s="237" t="s">
        <v>36</v>
      </c>
      <c r="DN49" s="239" t="e">
        <f>IF(AND(BA40&lt;&gt;0,AY40=AY38),IF(BA40=BA38,AY51,"xxx"),"xxx")</f>
        <v>#VALUE!</v>
      </c>
      <c r="DO49" s="239" t="e">
        <f>IF(AND(BA40&lt;&gt;0,AY40=AY39),IF(BA40=BA39,AZ50,"xxx"),"xxx")</f>
        <v>#VALUE!</v>
      </c>
      <c r="DP49" s="273" t="s">
        <v>53</v>
      </c>
      <c r="DQ49" s="239" t="e">
        <f>IF(AND(BA40&lt;&gt;0,AY40=AY41),IF(BA40=BA41,BB54,"xxx"),"xxx")</f>
        <v>#VALUE!</v>
      </c>
      <c r="DR49" s="274"/>
      <c r="DS49" s="249" t="e">
        <f>SUM(DN49:DR49)</f>
        <v>#VALUE!</v>
      </c>
      <c r="DT49" s="237" t="s">
        <v>36</v>
      </c>
      <c r="DU49" s="239" t="e">
        <f>IF(AND(CF49=CF47,BA40=BA38),BL51,"kkk")</f>
        <v>#VALUE!</v>
      </c>
      <c r="DV49" s="239" t="e">
        <f>IF(AND(CF49=CF48,BA40=BA39),BL50,"kkk")</f>
        <v>#VALUE!</v>
      </c>
      <c r="DW49" s="273" t="s">
        <v>53</v>
      </c>
      <c r="DX49" s="239" t="e">
        <f>IF(AND(CF49=CF50,BA40=BA41),BH54,"kkk")</f>
        <v>#VALUE!</v>
      </c>
      <c r="DY49" s="274"/>
      <c r="DZ49" s="249" t="e">
        <f>SUM(DU49:DY49)</f>
        <v>#VALUE!</v>
      </c>
      <c r="EA49" s="237" t="s">
        <v>36</v>
      </c>
      <c r="EB49" s="239" t="e">
        <f>IF(AND(CF49=CF47,BA40=BA38),BH51,"kkk")</f>
        <v>#VALUE!</v>
      </c>
      <c r="EC49" s="239" t="e">
        <f>IF(AND(CF49=CF48,BA40=BA39),BH50,"kkk")</f>
        <v>#VALUE!</v>
      </c>
      <c r="ED49" s="273" t="s">
        <v>53</v>
      </c>
      <c r="EE49" s="239" t="e">
        <f>IF(AND(CF49=CF50,BA40=BA41),BL54,"kkk")</f>
        <v>#VALUE!</v>
      </c>
      <c r="EF49" s="274"/>
      <c r="EG49" s="249" t="e">
        <f>SUM(EB49:EF49)</f>
        <v>#VALUE!</v>
      </c>
      <c r="EH49" s="237" t="s">
        <v>36</v>
      </c>
      <c r="EI49" s="239" t="e">
        <f>IF(BD40&lt;&gt;"ùùù",IF(AND(CF49=CF47,BD40=BD38),BL51,"kkk"),"kkk")</f>
        <v>#VALUE!</v>
      </c>
      <c r="EJ49" s="239" t="e">
        <f>IF(BD40&lt;&gt;"ùùù",IF(AND(CF49=CF48,BD40=BD39),BL50,"kkk"),"kkk")</f>
        <v>#VALUE!</v>
      </c>
      <c r="EK49" s="273" t="s">
        <v>53</v>
      </c>
      <c r="EL49" s="239" t="e">
        <f>IF(BD40&lt;&gt;"ùùù",IF(AND(CF49=CF50,BD40=BD41),BH54,"kkk"),"kkk")</f>
        <v>#VALUE!</v>
      </c>
      <c r="EM49" s="274"/>
      <c r="EN49" s="249" t="e">
        <f>SUM(EI49:EM49)</f>
        <v>#VALUE!</v>
      </c>
      <c r="EO49" s="237" t="s">
        <v>36</v>
      </c>
      <c r="EP49" s="239" t="e">
        <f>IF(BD40&lt;&gt;"ùùù",IF(AND(CF49=CF47,BD40=BD38),BH51,"kkk"),"kkk")</f>
        <v>#VALUE!</v>
      </c>
      <c r="EQ49" s="239" t="e">
        <f>IF(BD40&lt;&gt;"ùùù",IF(AND(CF49=CF48,BD40=BD39),BH50,"kkk"),"kkk")</f>
        <v>#VALUE!</v>
      </c>
      <c r="ER49" s="273" t="s">
        <v>53</v>
      </c>
      <c r="ES49" s="239" t="e">
        <f>IF(BD40&lt;&gt;"ùùù",IF(AND(CF49=CF50,BD40=BD41),BL54,"kkk"),"kkk")</f>
        <v>#VALUE!</v>
      </c>
      <c r="ET49" s="274"/>
      <c r="EU49" s="249" t="e">
        <f>SUM(EP49:ET49)</f>
        <v>#VALUE!</v>
      </c>
      <c r="EV49" s="237" t="s">
        <v>36</v>
      </c>
      <c r="EW49" s="239" t="e">
        <f>IF(AND(CF49=CF47,BC40=BC38),+AG51+AI51+AK51+AM51+AO51,"xxx")</f>
        <v>#VALUE!</v>
      </c>
      <c r="EX49" s="239" t="e">
        <f>IF(AND(CF49=CF48,BC40=BC39),+AG50+AI50+AK50+AM50+AO50,"xxx")</f>
        <v>#VALUE!</v>
      </c>
      <c r="EY49" s="273" t="s">
        <v>53</v>
      </c>
      <c r="EZ49" s="239" t="e">
        <f>IF(AND(CF49=CF50,BC40=BC41),+AF54+AH54+AJ54+AL54+AN54,"xxx")</f>
        <v>#VALUE!</v>
      </c>
      <c r="FA49" s="274"/>
      <c r="FB49" s="249" t="e">
        <f>SUM(EW49:FA49)</f>
        <v>#VALUE!</v>
      </c>
      <c r="FC49" s="237" t="s">
        <v>36</v>
      </c>
      <c r="FD49" s="239" t="e">
        <f>IF(AND(CF49=CF47,BC40=BC38),+AF51+AH51+AJ51+AL51+AN51,"xxx")</f>
        <v>#VALUE!</v>
      </c>
      <c r="FE49" s="239" t="e">
        <f>IF(AND(CF49=CF48,BC40=BC39),+AF50+AH50+AJ50+AL50+AN50,"xxx")</f>
        <v>#VALUE!</v>
      </c>
      <c r="FF49" s="273" t="s">
        <v>53</v>
      </c>
      <c r="FG49" s="239" t="e">
        <f>IF(AND(CF49=CF50,BC40=BC41),+AG54+AI54+AK54+AM54+AO54,"xxx")</f>
        <v>#VALUE!</v>
      </c>
      <c r="FH49" s="274"/>
      <c r="FI49" s="249" t="e">
        <f>SUM(FD49:FH49)</f>
        <v>#VALUE!</v>
      </c>
      <c r="FJ49" s="236"/>
      <c r="FK49" s="236"/>
      <c r="FL49" s="236"/>
      <c r="FM49" s="236"/>
    </row>
    <row r="50" spans="1:169" ht="27.95" customHeight="1" thickBot="1" x14ac:dyDescent="0.25">
      <c r="A50" s="525">
        <v>3</v>
      </c>
      <c r="B50" s="560" t="s">
        <v>13</v>
      </c>
      <c r="C50" s="561">
        <v>4</v>
      </c>
      <c r="D50" s="562"/>
      <c r="E50" s="563">
        <f>E49+0.0205</f>
        <v>0.10450000000000001</v>
      </c>
      <c r="F50" s="564">
        <f>F45</f>
        <v>0</v>
      </c>
      <c r="G50" s="819" t="str">
        <f t="shared" si="24"/>
        <v>XAVIER Hugo</v>
      </c>
      <c r="H50" s="820"/>
      <c r="I50" s="820"/>
      <c r="J50" s="820"/>
      <c r="K50" s="820"/>
      <c r="L50" s="517" t="s">
        <v>9</v>
      </c>
      <c r="M50" s="820">
        <f t="shared" si="25"/>
        <v>0</v>
      </c>
      <c r="N50" s="820"/>
      <c r="O50" s="820"/>
      <c r="P50" s="820"/>
      <c r="Q50" s="824"/>
      <c r="R50" s="592"/>
      <c r="S50" s="593"/>
      <c r="T50" s="593"/>
      <c r="U50" s="594"/>
      <c r="V50" s="594"/>
      <c r="W50" s="538"/>
      <c r="X50" s="568"/>
      <c r="Y50" s="569"/>
      <c r="Z50" s="570" t="str">
        <f>IF(AND(COUNTIF(($R50:$V50),"&gt;0")&gt;=2),1,IF(AND(COUNTIF(($R50:$V50),"&lt;0")&gt;=2),0,blanc))</f>
        <v xml:space="preserve"> </v>
      </c>
      <c r="AA50" s="571" t="str">
        <f>IF(AND(Z50=0),1,IF(AND(Z50=1),0,blanc))</f>
        <v xml:space="preserve"> </v>
      </c>
      <c r="AC50" s="298">
        <f>IF(AF39&lt;&gt;" ",AF39," ")</f>
        <v>2</v>
      </c>
      <c r="AD50" s="299">
        <f>IF(AF40&lt;&gt;" ",AF40," ")</f>
        <v>3</v>
      </c>
      <c r="AE50" s="300" t="str">
        <f t="shared" si="28"/>
        <v xml:space="preserve"> </v>
      </c>
      <c r="AF50" s="286">
        <f t="shared" si="29"/>
        <v>0</v>
      </c>
      <c r="AG50" s="287">
        <f t="shared" si="30"/>
        <v>0</v>
      </c>
      <c r="AH50" s="284">
        <f t="shared" si="31"/>
        <v>0</v>
      </c>
      <c r="AI50" s="287">
        <f t="shared" si="32"/>
        <v>0</v>
      </c>
      <c r="AJ50" s="288">
        <f t="shared" si="33"/>
        <v>0</v>
      </c>
      <c r="AK50" s="287">
        <f t="shared" si="34"/>
        <v>0</v>
      </c>
      <c r="AL50" s="288">
        <f t="shared" si="35"/>
        <v>0</v>
      </c>
      <c r="AM50" s="287">
        <f t="shared" si="36"/>
        <v>0</v>
      </c>
      <c r="AN50" s="288">
        <f t="shared" si="37"/>
        <v>0</v>
      </c>
      <c r="AO50" s="289">
        <f t="shared" si="38"/>
        <v>0</v>
      </c>
      <c r="AP50" s="301"/>
      <c r="AQ50" s="302">
        <f>IF(BI50&gt;0,1,0)</f>
        <v>0</v>
      </c>
      <c r="AR50" s="302">
        <f>IF(BI50&lt;0,1,0)</f>
        <v>0</v>
      </c>
      <c r="AT50" s="303"/>
      <c r="AU50" s="252"/>
      <c r="AV50" s="236"/>
      <c r="AW50" s="236"/>
      <c r="AX50" s="236"/>
      <c r="AY50" s="304"/>
      <c r="AZ50" s="305">
        <f>IF(BI50&gt;0,1,0)</f>
        <v>0</v>
      </c>
      <c r="BA50" s="305">
        <f>IF(BI50&lt;0,1,0)</f>
        <v>0</v>
      </c>
      <c r="BB50" s="306"/>
      <c r="BC50" s="239">
        <f t="shared" si="39"/>
        <v>0</v>
      </c>
      <c r="BD50" s="239">
        <f t="shared" si="40"/>
        <v>0</v>
      </c>
      <c r="BE50" s="239">
        <f t="shared" si="41"/>
        <v>0</v>
      </c>
      <c r="BF50" s="239">
        <f t="shared" si="42"/>
        <v>0</v>
      </c>
      <c r="BG50" s="239">
        <f t="shared" si="43"/>
        <v>0</v>
      </c>
      <c r="BH50" s="239" t="str">
        <f t="shared" si="44"/>
        <v>M</v>
      </c>
      <c r="BI50" s="239">
        <f t="shared" si="45"/>
        <v>0</v>
      </c>
      <c r="BJ50" s="239"/>
      <c r="BK50" s="239"/>
      <c r="BL50" s="239" t="e">
        <f t="shared" si="46"/>
        <v>#VALUE!</v>
      </c>
      <c r="BM50" s="239">
        <f t="shared" si="47"/>
        <v>0</v>
      </c>
      <c r="BN50" s="239"/>
      <c r="BO50" s="282"/>
      <c r="BQ50" s="268"/>
      <c r="BR50" s="248"/>
      <c r="BS50" s="237" t="str">
        <f>AE41</f>
        <v>D</v>
      </c>
      <c r="BT50" s="237" t="e">
        <f>CA47</f>
        <v>#VALUE!</v>
      </c>
      <c r="BU50" s="237" t="str">
        <f>BZ47</f>
        <v>M</v>
      </c>
      <c r="BV50" s="237" t="e">
        <f>CA48</f>
        <v>#VALUE!</v>
      </c>
      <c r="BW50" s="237" t="str">
        <f>BZ48</f>
        <v>M</v>
      </c>
      <c r="BX50" s="237" t="e">
        <f>CA49</f>
        <v>#VALUE!</v>
      </c>
      <c r="BY50" s="237" t="str">
        <f>BZ49</f>
        <v>M</v>
      </c>
      <c r="BZ50" s="269"/>
      <c r="CA50" s="307"/>
      <c r="CB50" s="248"/>
      <c r="CC50" s="248"/>
      <c r="CD50" s="271"/>
      <c r="CE50" s="271"/>
      <c r="CF50" s="249" t="e">
        <f t="shared" si="26"/>
        <v>#VALUE!</v>
      </c>
      <c r="CG50" s="242" t="e">
        <f t="shared" si="27"/>
        <v>#VALUE!</v>
      </c>
      <c r="CH50" s="308" t="e">
        <f>IF(BT50&gt;BU50,1,0)</f>
        <v>#VALUE!</v>
      </c>
      <c r="CI50" s="308" t="e">
        <f>IF(BV50&gt;BW50,1,0)</f>
        <v>#VALUE!</v>
      </c>
      <c r="CJ50" s="308" t="e">
        <f>IF(BX50&gt;BY50,1,0)</f>
        <v>#VALUE!</v>
      </c>
      <c r="CK50" s="308">
        <f>IF(CB50&gt;CC50,1,0)</f>
        <v>0</v>
      </c>
      <c r="CL50" s="308">
        <f>IF(CD50&gt;CE50,1,0)</f>
        <v>0</v>
      </c>
      <c r="CM50" s="309" t="e">
        <f>IF(BT50&lt;BU50,1,0)</f>
        <v>#VALUE!</v>
      </c>
      <c r="CN50" s="308" t="e">
        <f>IF(BV50&lt;BW50,1,0)</f>
        <v>#VALUE!</v>
      </c>
      <c r="CO50" s="308" t="e">
        <f>IF(BX50&lt;BY50,1,0)</f>
        <v>#VALUE!</v>
      </c>
      <c r="CP50" s="308">
        <f>IF(CB50&lt;CC50,1,0)</f>
        <v>0</v>
      </c>
      <c r="CQ50" s="308">
        <f>IF(CD50&lt;CE50,1,0)</f>
        <v>0</v>
      </c>
      <c r="CR50" s="308" t="s">
        <v>61</v>
      </c>
      <c r="CS50" s="277" t="e">
        <f>IF(CF50=CF47,BB49,"xxx")</f>
        <v>#VALUE!</v>
      </c>
      <c r="CT50" s="277" t="e">
        <f>IF(CF50=CF48,BB52,"xxx")</f>
        <v>#VALUE!</v>
      </c>
      <c r="CU50" s="277" t="e">
        <f>IF(CF50=CF49,BB54,"xxx")</f>
        <v>#VALUE!</v>
      </c>
      <c r="CV50" s="310" t="s">
        <v>53</v>
      </c>
      <c r="CW50" s="311"/>
      <c r="CX50" s="249" t="e">
        <f>SUM(CS50:CW50)</f>
        <v>#VALUE!</v>
      </c>
      <c r="CY50" s="308" t="s">
        <v>61</v>
      </c>
      <c r="CZ50" s="277" t="e">
        <f>IF(CF50=CF47,AY49,"xxx")</f>
        <v>#VALUE!</v>
      </c>
      <c r="DA50" s="277" t="e">
        <f>IF(CF50=CF48,AZ52,"xxx")</f>
        <v>#VALUE!</v>
      </c>
      <c r="DB50" s="277" t="e">
        <f>IF(CF50=CF49,BA54,"xxx")</f>
        <v>#VALUE!</v>
      </c>
      <c r="DC50" s="310" t="s">
        <v>53</v>
      </c>
      <c r="DD50" s="311"/>
      <c r="DE50" s="312" t="e">
        <f>SUM(CZ50:DD50)</f>
        <v>#VALUE!</v>
      </c>
      <c r="DF50" s="308" t="s">
        <v>61</v>
      </c>
      <c r="DG50" s="277" t="e">
        <f>IF(AND(BA41&lt;&gt;0,AY41=AY38),IF(BA41=BA38,BB49,"xxx"),"xxx")</f>
        <v>#VALUE!</v>
      </c>
      <c r="DH50" s="277" t="e">
        <f>IF(AND(BA41&lt;&gt;0,AY41=AY39),IF(BA41=BA39,BB52,"xxx"),"xxx")</f>
        <v>#VALUE!</v>
      </c>
      <c r="DI50" s="277" t="e">
        <f>IF(AND(BA41&lt;&gt;0,AY41=AY40),IF(BA41=BA40,BB54,"xxx"),"xxx")</f>
        <v>#VALUE!</v>
      </c>
      <c r="DJ50" s="310" t="s">
        <v>53</v>
      </c>
      <c r="DK50" s="311"/>
      <c r="DL50" s="249" t="e">
        <f>SUM(DG50:DK50)</f>
        <v>#VALUE!</v>
      </c>
      <c r="DM50" s="308" t="s">
        <v>61</v>
      </c>
      <c r="DN50" s="277" t="e">
        <f>IF(AND(BA41&lt;&gt;0,AY41=AY38),IF(BA41=BA38,AY49,"xxx"),"xxx")</f>
        <v>#VALUE!</v>
      </c>
      <c r="DO50" s="277" t="e">
        <f>IF(AND(BA41&lt;&gt;0,AY41=AY39),IF(BA41=BA39,AZ52,"xxx"),"xxx")</f>
        <v>#VALUE!</v>
      </c>
      <c r="DP50" s="277" t="e">
        <f>IF(AND(BA41&lt;&gt;0,AY41=AY40),IF(BA41=BA40,BA54,"xxx"),"xxx")</f>
        <v>#VALUE!</v>
      </c>
      <c r="DQ50" s="310" t="s">
        <v>53</v>
      </c>
      <c r="DR50" s="311"/>
      <c r="DS50" s="249" t="e">
        <f>SUM(DN50:DR50)</f>
        <v>#VALUE!</v>
      </c>
      <c r="DT50" s="308" t="s">
        <v>61</v>
      </c>
      <c r="DU50" s="277" t="e">
        <f>IF(AND(CF50=CF47,BA41=BA38),BL49,"kkk")</f>
        <v>#VALUE!</v>
      </c>
      <c r="DV50" s="277" t="e">
        <f>IF(AND(CF50=CF48,BA41=BA39),BL52,"kkk")</f>
        <v>#VALUE!</v>
      </c>
      <c r="DW50" s="277" t="e">
        <f>IF(AND(CF50=CF49,BA41=BA40),BL54,"kkk")</f>
        <v>#VALUE!</v>
      </c>
      <c r="DX50" s="310" t="s">
        <v>53</v>
      </c>
      <c r="DY50" s="311"/>
      <c r="DZ50" s="249" t="e">
        <f>SUM(DU50:DY50)</f>
        <v>#VALUE!</v>
      </c>
      <c r="EA50" s="308" t="s">
        <v>61</v>
      </c>
      <c r="EB50" s="277" t="e">
        <f>IF(AND(CF50=CF47,BA41=BA38),BH49,"kkk")</f>
        <v>#VALUE!</v>
      </c>
      <c r="EC50" s="277" t="e">
        <f>IF(AND(CF50=CF48,BA41=BA39),BH52,"kkk")</f>
        <v>#VALUE!</v>
      </c>
      <c r="ED50" s="277" t="e">
        <f>IF(AND(CF50=CF49,BA41=BA40),BH54,"kkk")</f>
        <v>#VALUE!</v>
      </c>
      <c r="EE50" s="310" t="s">
        <v>53</v>
      </c>
      <c r="EF50" s="311"/>
      <c r="EG50" s="249" t="e">
        <f>SUM(EB50:EF50)</f>
        <v>#VALUE!</v>
      </c>
      <c r="EH50" s="308" t="s">
        <v>61</v>
      </c>
      <c r="EI50" s="277" t="e">
        <f>IF(BD41&lt;&gt;"ùùù",IF(AND(CF50=CF47,BD41=BD38),BL49,"kkk"),"kkk")</f>
        <v>#VALUE!</v>
      </c>
      <c r="EJ50" s="277" t="e">
        <f>IF(BD41&lt;&gt;"ùùù",IF(AND(CF50=CF48,BD41=BD39),BL52,"kkk"),"kkk")</f>
        <v>#VALUE!</v>
      </c>
      <c r="EK50" s="277" t="e">
        <f>IF(BD41&lt;&gt;"ùùù",IF(AND(CF50=CF49,BD41=BD40),BL54,"kkk"),"kkk")</f>
        <v>#VALUE!</v>
      </c>
      <c r="EL50" s="310" t="s">
        <v>53</v>
      </c>
      <c r="EM50" s="311"/>
      <c r="EN50" s="249" t="e">
        <f>SUM(EI50:EM50)</f>
        <v>#VALUE!</v>
      </c>
      <c r="EO50" s="308" t="s">
        <v>61</v>
      </c>
      <c r="EP50" s="277" t="e">
        <f>IF(BD41&lt;&gt;"ùùù",IF(AND(CF50=CF47,BD41=BD38),BH49,"kkk"),"kkk")</f>
        <v>#VALUE!</v>
      </c>
      <c r="EQ50" s="277" t="e">
        <f>IF(BD41&lt;&gt;"ùùù",IF(AND(CF50=CF48,BD41=BD39),BH52,"kkk"),"kkk")</f>
        <v>#VALUE!</v>
      </c>
      <c r="ER50" s="277" t="e">
        <f>IF(BD41&lt;&gt;"ùùù",IF(AND(CF50=CF49,BD41=BD40),BH54,"kkk"),"kkk")</f>
        <v>#VALUE!</v>
      </c>
      <c r="ES50" s="310" t="s">
        <v>53</v>
      </c>
      <c r="ET50" s="311"/>
      <c r="EU50" s="249" t="e">
        <f>SUM(EP50:ET50)</f>
        <v>#VALUE!</v>
      </c>
      <c r="EV50" s="308" t="s">
        <v>61</v>
      </c>
      <c r="EW50" s="277" t="e">
        <f>IF(AND(CF50=CF47,BC41=BC38),+AG49+AI49+AK49+AM49+AO49,"xxx")</f>
        <v>#VALUE!</v>
      </c>
      <c r="EX50" s="277" t="e">
        <f>IF(AND(CF50=CF48,BC41=BC39),+AG52+AI52+AK52+AM52+AO52,"xxx")</f>
        <v>#VALUE!</v>
      </c>
      <c r="EY50" s="277" t="e">
        <f>IF(AND(CF50=CF49,BC40=BC41),+AG54+AI54+AK54+AM54+AO54,"xxx")</f>
        <v>#VALUE!</v>
      </c>
      <c r="EZ50" s="310" t="s">
        <v>53</v>
      </c>
      <c r="FA50" s="311"/>
      <c r="FB50" s="249" t="e">
        <f>SUM(EW50:FA50)</f>
        <v>#VALUE!</v>
      </c>
      <c r="FC50" s="308" t="s">
        <v>61</v>
      </c>
      <c r="FD50" s="277" t="e">
        <f>IF(AND(CF50=CF47,BC41=BC38),+AF49+AH49+AJ49+AL49+AN49,"xxx")</f>
        <v>#VALUE!</v>
      </c>
      <c r="FE50" s="277" t="e">
        <f>IF(AND(CF50=CF48,BC41=BC39),+AF52+AH52+AJ52+AL52+AN52,"xxx")</f>
        <v>#VALUE!</v>
      </c>
      <c r="FF50" s="277" t="e">
        <f>IF(AND(CF50=CF49,BC41=BC40),+AF54+AH54+AJ54+AL54+AN54,"xxx")</f>
        <v>#VALUE!</v>
      </c>
      <c r="FG50" s="310" t="s">
        <v>53</v>
      </c>
      <c r="FH50" s="311"/>
      <c r="FI50" s="249" t="e">
        <f>SUM(FD50:FH50)</f>
        <v>#VALUE!</v>
      </c>
      <c r="FJ50" s="236"/>
      <c r="FK50" s="236"/>
      <c r="FL50" s="236"/>
      <c r="FM50" s="236"/>
    </row>
    <row r="51" spans="1:169" ht="21.95" customHeight="1" x14ac:dyDescent="0.2">
      <c r="A51" s="503"/>
      <c r="B51" s="503"/>
      <c r="C51" s="502"/>
      <c r="D51" s="502"/>
      <c r="E51" s="502"/>
      <c r="F51" s="502"/>
      <c r="G51" s="503"/>
      <c r="H51" s="506"/>
      <c r="I51" s="506"/>
      <c r="J51" s="506"/>
      <c r="K51" s="506"/>
      <c r="L51" s="572">
        <v>6</v>
      </c>
      <c r="M51" s="511"/>
      <c r="N51" s="572" t="s">
        <v>3</v>
      </c>
      <c r="O51" s="886" t="s">
        <v>17</v>
      </c>
      <c r="P51" s="887"/>
      <c r="Q51" s="887"/>
      <c r="R51" s="875"/>
      <c r="S51" s="875"/>
      <c r="T51" s="875"/>
      <c r="U51" s="875"/>
      <c r="V51" s="876"/>
      <c r="W51" s="573"/>
      <c r="X51" s="595" t="str">
        <f>IF($R$45="","",SUM(X45:X50))</f>
        <v/>
      </c>
      <c r="Y51" s="596" t="str">
        <f>IF($R$45="","",SUM(Y45:Y50))</f>
        <v/>
      </c>
      <c r="Z51" s="596" t="str">
        <f>IF($R$45="","",SUM(Z45:Z50))</f>
        <v/>
      </c>
      <c r="AA51" s="597" t="str">
        <f>IF($R$45="","",SUM(AA45:AA50))</f>
        <v/>
      </c>
      <c r="AB51" s="601">
        <f>SUM(X51:AA51)</f>
        <v>0</v>
      </c>
      <c r="AC51" s="298">
        <f>IF(AF38&lt;&gt;" ",AF38," ")</f>
        <v>1</v>
      </c>
      <c r="AD51" s="299">
        <f>IF(AF40&lt;&gt;" ",AF40," ")</f>
        <v>3</v>
      </c>
      <c r="AE51" s="300" t="str">
        <f t="shared" si="28"/>
        <v xml:space="preserve"> </v>
      </c>
      <c r="AF51" s="286">
        <f t="shared" si="29"/>
        <v>0</v>
      </c>
      <c r="AG51" s="287">
        <f t="shared" si="30"/>
        <v>0</v>
      </c>
      <c r="AH51" s="284">
        <f t="shared" si="31"/>
        <v>0</v>
      </c>
      <c r="AI51" s="287">
        <f t="shared" si="32"/>
        <v>0</v>
      </c>
      <c r="AJ51" s="288">
        <f t="shared" si="33"/>
        <v>0</v>
      </c>
      <c r="AK51" s="287">
        <f t="shared" si="34"/>
        <v>0</v>
      </c>
      <c r="AL51" s="288">
        <f t="shared" si="35"/>
        <v>0</v>
      </c>
      <c r="AM51" s="287">
        <f t="shared" si="36"/>
        <v>0</v>
      </c>
      <c r="AN51" s="288">
        <f t="shared" si="37"/>
        <v>0</v>
      </c>
      <c r="AO51" s="289">
        <f t="shared" si="38"/>
        <v>0</v>
      </c>
      <c r="AP51" s="313">
        <f>IF(BI51&gt;0,1,0)</f>
        <v>0</v>
      </c>
      <c r="AQ51" s="314"/>
      <c r="AR51" s="315">
        <f>IF(BI51&lt;0,1,0)</f>
        <v>0</v>
      </c>
      <c r="AS51" s="316"/>
      <c r="AT51" s="292"/>
      <c r="AU51" s="252"/>
      <c r="AV51" s="236"/>
      <c r="AW51" s="236"/>
      <c r="AX51" s="236"/>
      <c r="AY51" s="317">
        <f>IF(BI51&gt;0,1,0)</f>
        <v>0</v>
      </c>
      <c r="AZ51" s="318"/>
      <c r="BA51" s="305">
        <f>IF(BI51&lt;0,1,0)</f>
        <v>0</v>
      </c>
      <c r="BB51" s="319"/>
      <c r="BC51" s="239">
        <f t="shared" si="39"/>
        <v>0</v>
      </c>
      <c r="BD51" s="239">
        <f t="shared" si="40"/>
        <v>0</v>
      </c>
      <c r="BE51" s="239">
        <f t="shared" si="41"/>
        <v>0</v>
      </c>
      <c r="BF51" s="239">
        <f t="shared" si="42"/>
        <v>0</v>
      </c>
      <c r="BG51" s="239">
        <f t="shared" si="43"/>
        <v>0</v>
      </c>
      <c r="BH51" s="239" t="str">
        <f t="shared" si="44"/>
        <v>M</v>
      </c>
      <c r="BI51" s="239">
        <f t="shared" si="45"/>
        <v>0</v>
      </c>
      <c r="BJ51" s="239"/>
      <c r="BK51" s="239"/>
      <c r="BL51" s="239" t="e">
        <f t="shared" si="46"/>
        <v>#VALUE!</v>
      </c>
      <c r="BM51" s="239">
        <f t="shared" si="47"/>
        <v>0</v>
      </c>
      <c r="BN51" s="239"/>
      <c r="BO51" s="282"/>
      <c r="BQ51" s="268"/>
      <c r="BR51" s="248"/>
      <c r="BS51" s="308">
        <f>AE42</f>
        <v>0</v>
      </c>
      <c r="BT51" s="308">
        <f>CC47</f>
        <v>0</v>
      </c>
      <c r="BU51" s="308">
        <f>CB47</f>
        <v>0</v>
      </c>
      <c r="BV51" s="308">
        <f>CC48</f>
        <v>0</v>
      </c>
      <c r="BW51" s="308">
        <f>CB48</f>
        <v>0</v>
      </c>
      <c r="BX51" s="308">
        <f>CC49</f>
        <v>0</v>
      </c>
      <c r="BY51" s="308">
        <f>CB49</f>
        <v>0</v>
      </c>
      <c r="BZ51" s="308">
        <f>CC50</f>
        <v>0</v>
      </c>
      <c r="CA51" s="320">
        <f>CB50</f>
        <v>0</v>
      </c>
      <c r="CB51" s="271"/>
      <c r="CC51" s="271"/>
      <c r="CD51" s="271"/>
      <c r="CE51" s="271"/>
      <c r="CF51" s="249">
        <f t="shared" si="26"/>
        <v>0</v>
      </c>
      <c r="CG51" s="242">
        <f t="shared" si="27"/>
        <v>0</v>
      </c>
      <c r="CH51" s="271"/>
      <c r="CI51" s="271"/>
      <c r="CJ51" s="271"/>
      <c r="CK51" s="271"/>
      <c r="CL51" s="271"/>
      <c r="CM51" s="271"/>
      <c r="CN51" s="271"/>
      <c r="CO51" s="271"/>
      <c r="CP51" s="271"/>
      <c r="CQ51" s="271"/>
      <c r="CR51" s="271"/>
      <c r="CS51" s="252"/>
      <c r="CT51" s="252"/>
      <c r="CU51" s="252"/>
      <c r="CV51" s="252"/>
      <c r="CW51" s="252"/>
      <c r="CX51" s="252"/>
      <c r="CY51" s="271"/>
      <c r="CZ51" s="252"/>
      <c r="DA51" s="252"/>
      <c r="DB51" s="252"/>
      <c r="DC51" s="252"/>
      <c r="DD51" s="252"/>
      <c r="DE51" s="252"/>
      <c r="DF51" s="271"/>
      <c r="DG51" s="252"/>
      <c r="DH51" s="252"/>
      <c r="DI51" s="252"/>
      <c r="DJ51" s="252"/>
      <c r="DK51" s="252"/>
      <c r="DL51" s="252"/>
      <c r="DM51" s="271"/>
      <c r="DN51" s="252"/>
      <c r="DO51" s="252"/>
      <c r="DP51" s="252"/>
      <c r="DQ51" s="252"/>
      <c r="DR51" s="252"/>
      <c r="DS51" s="252"/>
      <c r="DT51" s="271"/>
      <c r="DU51" s="252"/>
      <c r="DV51" s="252"/>
      <c r="DW51" s="252"/>
      <c r="DX51" s="252"/>
      <c r="DY51" s="252"/>
      <c r="DZ51" s="252"/>
      <c r="EA51" s="271"/>
      <c r="EB51" s="252"/>
      <c r="EC51" s="252"/>
      <c r="ED51" s="252"/>
      <c r="EE51" s="252"/>
      <c r="EF51" s="252"/>
      <c r="EG51" s="252"/>
      <c r="EH51" s="271"/>
      <c r="EI51" s="252"/>
      <c r="EJ51" s="252"/>
      <c r="EK51" s="252"/>
      <c r="EL51" s="252"/>
      <c r="EM51" s="252"/>
      <c r="EN51" s="252"/>
      <c r="EO51" s="271"/>
      <c r="EP51" s="252"/>
      <c r="EQ51" s="252"/>
      <c r="ER51" s="252"/>
      <c r="ES51" s="252"/>
      <c r="ET51" s="252"/>
      <c r="EU51" s="252"/>
      <c r="EV51" s="271"/>
      <c r="EW51" s="252"/>
      <c r="EX51" s="252"/>
      <c r="EY51" s="252"/>
      <c r="EZ51" s="252"/>
      <c r="FA51" s="252"/>
      <c r="FB51" s="252"/>
      <c r="FC51" s="271"/>
      <c r="FD51" s="252"/>
      <c r="FE51" s="252"/>
      <c r="FF51" s="252"/>
      <c r="FG51" s="252"/>
      <c r="FH51" s="252"/>
      <c r="FI51" s="252"/>
      <c r="FJ51" s="236"/>
      <c r="FK51" s="236"/>
      <c r="FL51" s="236"/>
      <c r="FM51" s="236"/>
    </row>
    <row r="52" spans="1:169" ht="21.95" customHeight="1" thickBot="1" x14ac:dyDescent="0.25">
      <c r="A52" s="503"/>
      <c r="B52" s="577" t="s">
        <v>4</v>
      </c>
      <c r="C52" s="503"/>
      <c r="D52" s="503"/>
      <c r="E52" s="503"/>
      <c r="F52" s="503"/>
      <c r="G52" s="503"/>
      <c r="H52" s="506"/>
      <c r="I52" s="506"/>
      <c r="J52" s="506"/>
      <c r="K52" s="578" t="s">
        <v>3</v>
      </c>
      <c r="L52" s="579"/>
      <c r="M52" s="580" t="str">
        <f>IF(AB52=AB51,K52,IF(AB52&gt;AB51,""))</f>
        <v/>
      </c>
      <c r="N52" s="506"/>
      <c r="O52" s="833" t="s">
        <v>18</v>
      </c>
      <c r="P52" s="834"/>
      <c r="Q52" s="834"/>
      <c r="R52" s="834"/>
      <c r="S52" s="834"/>
      <c r="T52" s="834"/>
      <c r="U52" s="834"/>
      <c r="V52" s="835"/>
      <c r="W52" s="573"/>
      <c r="X52" s="581" t="str">
        <f>IF(M52="OK",BK38,"")</f>
        <v/>
      </c>
      <c r="Y52" s="582" t="str">
        <f>IF(M52="OK",BK39,"")</f>
        <v/>
      </c>
      <c r="Z52" s="582" t="str">
        <f>IF(M52="OK",BK40,"")</f>
        <v/>
      </c>
      <c r="AA52" s="598" t="str">
        <f>IF(M52="OK",BK41,"")</f>
        <v/>
      </c>
      <c r="AB52" s="601">
        <v>6</v>
      </c>
      <c r="AC52" s="283">
        <f>IF(AF39&lt;&gt;" ",AF39," ")</f>
        <v>2</v>
      </c>
      <c r="AD52" s="284">
        <f>IF(AF41&lt;&gt;" ",AF41," ")</f>
        <v>4</v>
      </c>
      <c r="AE52" s="300" t="str">
        <f t="shared" si="28"/>
        <v xml:space="preserve"> </v>
      </c>
      <c r="AF52" s="286">
        <f t="shared" si="29"/>
        <v>0</v>
      </c>
      <c r="AG52" s="287">
        <f t="shared" si="30"/>
        <v>0</v>
      </c>
      <c r="AH52" s="284">
        <f t="shared" si="31"/>
        <v>0</v>
      </c>
      <c r="AI52" s="287">
        <f t="shared" si="32"/>
        <v>0</v>
      </c>
      <c r="AJ52" s="288">
        <f t="shared" si="33"/>
        <v>0</v>
      </c>
      <c r="AK52" s="287">
        <f t="shared" si="34"/>
        <v>0</v>
      </c>
      <c r="AL52" s="288">
        <f t="shared" si="35"/>
        <v>0</v>
      </c>
      <c r="AM52" s="287">
        <f t="shared" si="36"/>
        <v>0</v>
      </c>
      <c r="AN52" s="288">
        <f t="shared" si="37"/>
        <v>0</v>
      </c>
      <c r="AO52" s="289">
        <f t="shared" si="38"/>
        <v>0</v>
      </c>
      <c r="AP52" s="301"/>
      <c r="AQ52" s="302">
        <f>IF(BI52&gt;0,1,0)</f>
        <v>0</v>
      </c>
      <c r="AR52" s="306"/>
      <c r="AS52" s="321">
        <f>IF(BI52&lt;0,1,0)</f>
        <v>0</v>
      </c>
      <c r="AT52" s="303"/>
      <c r="AU52" s="252"/>
      <c r="AV52" s="236"/>
      <c r="AW52" s="236"/>
      <c r="AX52" s="236"/>
      <c r="AY52" s="304"/>
      <c r="AZ52" s="305">
        <f>IF(BI52&gt;0,1,0)</f>
        <v>0</v>
      </c>
      <c r="BB52" s="322">
        <f>IF(BI52&lt;0,1,0)</f>
        <v>0</v>
      </c>
      <c r="BC52" s="239">
        <f t="shared" si="39"/>
        <v>0</v>
      </c>
      <c r="BD52" s="239">
        <f t="shared" si="40"/>
        <v>0</v>
      </c>
      <c r="BE52" s="239">
        <f t="shared" si="41"/>
        <v>0</v>
      </c>
      <c r="BF52" s="239">
        <f t="shared" si="42"/>
        <v>0</v>
      </c>
      <c r="BG52" s="239">
        <f t="shared" si="43"/>
        <v>0</v>
      </c>
      <c r="BH52" s="239" t="str">
        <f t="shared" si="44"/>
        <v>M</v>
      </c>
      <c r="BI52" s="239">
        <f t="shared" si="45"/>
        <v>0</v>
      </c>
      <c r="BJ52" s="239"/>
      <c r="BK52" s="239"/>
      <c r="BL52" s="239" t="e">
        <f t="shared" si="46"/>
        <v>#VALUE!</v>
      </c>
      <c r="BM52" s="239">
        <f t="shared" si="47"/>
        <v>0</v>
      </c>
      <c r="BN52" s="239"/>
      <c r="BO52" s="282"/>
      <c r="BQ52" s="26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71"/>
      <c r="CE52" s="271"/>
      <c r="CF52" s="249">
        <f t="shared" si="26"/>
        <v>0</v>
      </c>
      <c r="CG52" s="242">
        <f t="shared" si="27"/>
        <v>0</v>
      </c>
      <c r="CH52" s="271"/>
      <c r="CI52" s="271"/>
      <c r="CJ52" s="271"/>
      <c r="CK52" s="271"/>
      <c r="CL52" s="271"/>
      <c r="CM52" s="271"/>
      <c r="CN52" s="271"/>
      <c r="CO52" s="271"/>
      <c r="CP52" s="271"/>
      <c r="CQ52" s="271"/>
      <c r="CR52" s="271"/>
      <c r="CS52" s="252"/>
      <c r="CT52" s="252"/>
      <c r="CU52" s="252"/>
      <c r="CV52" s="252"/>
      <c r="CW52" s="252"/>
      <c r="CX52" s="252"/>
      <c r="CY52" s="249"/>
      <c r="CZ52" s="271"/>
      <c r="DA52" s="252"/>
      <c r="DB52" s="252"/>
      <c r="DC52" s="252"/>
      <c r="DD52" s="252"/>
      <c r="DE52" s="252"/>
      <c r="DF52" s="271"/>
      <c r="DG52" s="252"/>
      <c r="DH52" s="252"/>
      <c r="DI52" s="252"/>
      <c r="DJ52" s="252"/>
      <c r="DK52" s="252"/>
      <c r="DL52" s="252"/>
      <c r="DM52" s="271"/>
      <c r="DN52" s="252"/>
      <c r="DO52" s="252"/>
      <c r="DP52" s="252"/>
      <c r="DQ52" s="252"/>
      <c r="DR52" s="252"/>
      <c r="DS52" s="252"/>
      <c r="DT52" s="248"/>
      <c r="DU52" s="249"/>
      <c r="DV52" s="236"/>
      <c r="DW52" s="248"/>
      <c r="DX52" s="249"/>
      <c r="DY52" s="249"/>
      <c r="DZ52" s="248"/>
      <c r="EA52" s="248"/>
      <c r="EB52" s="249" t="e">
        <f>IF(EG47&gt;0,DZ47/EG47,"???")</f>
        <v>#VALUE!</v>
      </c>
      <c r="EC52" s="249" t="e">
        <f>IF(EG48&gt;0,DZ48/EG48,"???")</f>
        <v>#VALUE!</v>
      </c>
      <c r="ED52" s="249" t="e">
        <f>IF(EG49&gt;0,DZ49/EG49,"???")</f>
        <v>#VALUE!</v>
      </c>
      <c r="EE52" s="249" t="e">
        <f>IF(EG50&gt;0,DZ50/EG50,"???")</f>
        <v>#VALUE!</v>
      </c>
      <c r="EF52" s="249" t="str">
        <f>IF(EG51&gt;0,DZ51/EG51,"???")</f>
        <v>???</v>
      </c>
      <c r="EG52" s="249"/>
      <c r="EH52" s="271"/>
      <c r="EI52" s="252"/>
      <c r="EJ52" s="252"/>
      <c r="EK52" s="252"/>
      <c r="EL52" s="252"/>
      <c r="EM52" s="252"/>
      <c r="EN52" s="249">
        <f>SUM(EI52:EM52)</f>
        <v>0</v>
      </c>
      <c r="EO52" s="271"/>
      <c r="EP52" s="248" t="e">
        <f>IF(EU47&gt;0,EN47/EU47,"???")</f>
        <v>#VALUE!</v>
      </c>
      <c r="EQ52" s="248" t="e">
        <f>IF(EU48&gt;0,EN48/EU48,"???")</f>
        <v>#VALUE!</v>
      </c>
      <c r="ER52" s="248" t="e">
        <f>IF(EU49&gt;0,EN49/EU49,"???")</f>
        <v>#VALUE!</v>
      </c>
      <c r="ES52" s="248" t="e">
        <f>IF(EU50&gt;0,EN50/EU50,"???")</f>
        <v>#VALUE!</v>
      </c>
      <c r="ET52" s="248" t="str">
        <f>IF(EU51&gt;0,EN51/EU51,"???")</f>
        <v>???</v>
      </c>
      <c r="EU52" s="249"/>
      <c r="EV52" s="271"/>
      <c r="EW52" s="252"/>
      <c r="EX52" s="252"/>
      <c r="EY52" s="252"/>
      <c r="EZ52" s="252"/>
      <c r="FA52" s="252"/>
      <c r="FB52" s="323" t="e">
        <f>SUM(FB47:FB51)</f>
        <v>#VALUE!</v>
      </c>
      <c r="FC52" s="271"/>
      <c r="FD52" s="252"/>
      <c r="FF52" s="252"/>
      <c r="FG52" s="252"/>
      <c r="FH52" s="252"/>
      <c r="FI52" s="323" t="e">
        <f>SUM(FI47:FI51)</f>
        <v>#VALUE!</v>
      </c>
      <c r="FJ52" s="236"/>
      <c r="FK52" s="236"/>
      <c r="FL52" s="236"/>
      <c r="FM52" s="236"/>
    </row>
    <row r="53" spans="1:169" ht="27.95" customHeight="1" thickBot="1" x14ac:dyDescent="0.25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6"/>
      <c r="X53" s="504"/>
      <c r="Y53" s="504"/>
      <c r="Z53" s="504"/>
      <c r="AA53" s="506"/>
      <c r="AC53" s="298">
        <f>IF(AF38&lt;&gt;" ",AF38," ")</f>
        <v>1</v>
      </c>
      <c r="AD53" s="299">
        <f>IF(AF39&lt;&gt;" ",AF39," ")</f>
        <v>2</v>
      </c>
      <c r="AE53" s="300" t="str">
        <f t="shared" si="28"/>
        <v xml:space="preserve"> </v>
      </c>
      <c r="AF53" s="286">
        <f t="shared" si="29"/>
        <v>0</v>
      </c>
      <c r="AG53" s="287">
        <f t="shared" si="30"/>
        <v>0</v>
      </c>
      <c r="AH53" s="284">
        <f t="shared" si="31"/>
        <v>0</v>
      </c>
      <c r="AI53" s="287">
        <f t="shared" si="32"/>
        <v>0</v>
      </c>
      <c r="AJ53" s="288">
        <f t="shared" si="33"/>
        <v>0</v>
      </c>
      <c r="AK53" s="287">
        <f t="shared" si="34"/>
        <v>0</v>
      </c>
      <c r="AL53" s="288">
        <f t="shared" si="35"/>
        <v>0</v>
      </c>
      <c r="AM53" s="287">
        <f t="shared" si="36"/>
        <v>0</v>
      </c>
      <c r="AN53" s="288">
        <f t="shared" si="37"/>
        <v>0</v>
      </c>
      <c r="AO53" s="289">
        <f t="shared" si="38"/>
        <v>0</v>
      </c>
      <c r="AP53" s="313">
        <f>IF(BI53&gt;0,1,0)</f>
        <v>0</v>
      </c>
      <c r="AQ53" s="302">
        <f>IF(BI53&lt;0,1,0)</f>
        <v>0</v>
      </c>
      <c r="AR53" s="324"/>
      <c r="AT53" s="303"/>
      <c r="AU53" s="252"/>
      <c r="AV53" s="236"/>
      <c r="AW53" s="236"/>
      <c r="AX53" s="236"/>
      <c r="AY53" s="317">
        <f>IF(BI53&gt;0,1,0)</f>
        <v>0</v>
      </c>
      <c r="AZ53" s="305">
        <f>IF(BI53&lt;0,1,0)</f>
        <v>0</v>
      </c>
      <c r="BA53" s="318"/>
      <c r="BB53" s="325"/>
      <c r="BC53" s="239">
        <f t="shared" si="39"/>
        <v>0</v>
      </c>
      <c r="BD53" s="239">
        <f t="shared" si="40"/>
        <v>0</v>
      </c>
      <c r="BE53" s="239">
        <f t="shared" si="41"/>
        <v>0</v>
      </c>
      <c r="BF53" s="239">
        <f t="shared" si="42"/>
        <v>0</v>
      </c>
      <c r="BG53" s="239">
        <f t="shared" si="43"/>
        <v>0</v>
      </c>
      <c r="BH53" s="239" t="str">
        <f t="shared" si="44"/>
        <v>M</v>
      </c>
      <c r="BI53" s="239">
        <f t="shared" si="45"/>
        <v>0</v>
      </c>
      <c r="BJ53" s="239"/>
      <c r="BK53" s="239"/>
      <c r="BL53" s="239" t="e">
        <f t="shared" si="46"/>
        <v>#VALUE!</v>
      </c>
      <c r="BM53" s="239">
        <f t="shared" si="47"/>
        <v>0</v>
      </c>
      <c r="BN53" s="239"/>
      <c r="BO53" s="282"/>
      <c r="BQ53" s="26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9">
        <f t="shared" si="26"/>
        <v>0</v>
      </c>
      <c r="CG53" s="242">
        <f t="shared" si="27"/>
        <v>0</v>
      </c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1"/>
      <c r="CY53" s="249"/>
      <c r="CZ53" s="271"/>
      <c r="DA53" s="252"/>
      <c r="DB53" s="252"/>
      <c r="DC53" s="252"/>
      <c r="DD53" s="252"/>
      <c r="DE53" s="252"/>
      <c r="DF53" s="252"/>
      <c r="DG53" s="252"/>
      <c r="DH53" s="271"/>
      <c r="DI53" s="252"/>
      <c r="DJ53" s="252"/>
      <c r="DK53" s="252"/>
      <c r="DL53" s="252"/>
      <c r="DM53" s="271"/>
      <c r="DN53" s="252"/>
      <c r="DO53" s="252"/>
      <c r="DP53" s="252"/>
      <c r="DQ53" s="252"/>
      <c r="DR53" s="252"/>
      <c r="DS53" s="252"/>
      <c r="DT53" s="248"/>
      <c r="DU53" s="249"/>
      <c r="DV53" s="249"/>
      <c r="DW53" s="249"/>
      <c r="DX53" s="249"/>
      <c r="DY53" s="249"/>
      <c r="DZ53" s="252"/>
      <c r="EA53" s="248"/>
      <c r="EH53" s="271"/>
      <c r="EI53" s="271"/>
      <c r="EJ53" s="271"/>
      <c r="EK53" s="271"/>
      <c r="EL53" s="271"/>
      <c r="EM53" s="271"/>
      <c r="EN53" s="249">
        <f>SUM(EI53:EM53)</f>
        <v>0</v>
      </c>
      <c r="EO53" s="236"/>
      <c r="EP53" s="236"/>
      <c r="EQ53" s="236"/>
      <c r="ER53" s="236"/>
      <c r="ES53" s="236"/>
      <c r="ET53" s="236"/>
      <c r="EU53" s="236"/>
      <c r="EV53" s="271"/>
      <c r="EW53" s="252"/>
      <c r="EX53" s="252"/>
      <c r="EY53" s="249"/>
      <c r="EZ53" s="252"/>
      <c r="FA53" s="252"/>
      <c r="FB53" s="252"/>
      <c r="FC53" s="271"/>
      <c r="FD53" s="252"/>
      <c r="FE53" s="248"/>
      <c r="FF53" s="252"/>
      <c r="FG53" s="252"/>
      <c r="FH53" s="252"/>
      <c r="FI53" s="252"/>
      <c r="FJ53" s="236"/>
      <c r="FK53" s="236"/>
      <c r="FL53" s="236"/>
      <c r="FM53" s="236"/>
    </row>
    <row r="54" spans="1:169" ht="27.95" customHeight="1" thickBot="1" x14ac:dyDescent="0.25">
      <c r="A54" s="881" t="s">
        <v>289</v>
      </c>
      <c r="B54" s="882"/>
      <c r="C54" s="870" t="str">
        <f>IF($AB51&lt;6,"",IF($X52=1,C38,IF($Y52=1,C39,IF($Z52=1,C40,IF($AA52=1,C41)))))</f>
        <v/>
      </c>
      <c r="D54" s="871"/>
      <c r="E54" s="811" t="str">
        <f>IF(C54="","",VLOOKUP(C54,liste!$A$9:$G$145,2,FALSE))</f>
        <v/>
      </c>
      <c r="F54" s="812"/>
      <c r="G54" s="812"/>
      <c r="H54" s="812"/>
      <c r="I54" s="813"/>
      <c r="J54" s="584" t="str">
        <f>IF(C54="","",VLOOKUP(C54,liste!$A$9:$G$145,4,FALSE))</f>
        <v/>
      </c>
      <c r="K54" s="811" t="str">
        <f>IF(C54="","",VLOOKUP(C54,liste!$A$9:$G$145,3,FALSE))</f>
        <v/>
      </c>
      <c r="L54" s="812"/>
      <c r="M54" s="812"/>
      <c r="N54" s="813"/>
      <c r="O54" s="513"/>
      <c r="P54" s="892" t="s">
        <v>295</v>
      </c>
      <c r="Q54" s="892"/>
      <c r="R54" s="892"/>
      <c r="S54" s="504"/>
      <c r="T54" s="504"/>
      <c r="U54" s="504"/>
      <c r="V54" s="504"/>
      <c r="W54" s="504"/>
      <c r="X54" s="504"/>
      <c r="Y54" s="504"/>
      <c r="Z54" s="504"/>
      <c r="AA54" s="506"/>
      <c r="AC54" s="298">
        <f>IF(AF40&lt;&gt;" ",AF40," ")</f>
        <v>3</v>
      </c>
      <c r="AD54" s="299">
        <f>IF(AF41&lt;&gt;" ",AF41," ")</f>
        <v>4</v>
      </c>
      <c r="AE54" s="300" t="str">
        <f t="shared" si="28"/>
        <v xml:space="preserve"> </v>
      </c>
      <c r="AF54" s="286">
        <f t="shared" si="29"/>
        <v>0</v>
      </c>
      <c r="AG54" s="287">
        <f t="shared" si="30"/>
        <v>0</v>
      </c>
      <c r="AH54" s="284">
        <f t="shared" si="31"/>
        <v>0</v>
      </c>
      <c r="AI54" s="287">
        <f t="shared" si="32"/>
        <v>0</v>
      </c>
      <c r="AJ54" s="288">
        <f t="shared" si="33"/>
        <v>0</v>
      </c>
      <c r="AK54" s="287">
        <f t="shared" si="34"/>
        <v>0</v>
      </c>
      <c r="AL54" s="288">
        <f t="shared" si="35"/>
        <v>0</v>
      </c>
      <c r="AM54" s="287">
        <f t="shared" si="36"/>
        <v>0</v>
      </c>
      <c r="AN54" s="288">
        <f t="shared" si="37"/>
        <v>0</v>
      </c>
      <c r="AO54" s="289">
        <f t="shared" si="38"/>
        <v>0</v>
      </c>
      <c r="AP54" s="301"/>
      <c r="AR54" s="302">
        <f>IF(BI54&gt;0,1,0)</f>
        <v>0</v>
      </c>
      <c r="AS54" s="315">
        <f>IF(BI54&lt;0,1,0)</f>
        <v>0</v>
      </c>
      <c r="AT54" s="292"/>
      <c r="AU54" s="252"/>
      <c r="AV54" s="236"/>
      <c r="AW54" s="236"/>
      <c r="AX54" s="236"/>
      <c r="AY54" s="326"/>
      <c r="AZ54" s="327"/>
      <c r="BA54" s="328">
        <f>IF(BI54&gt;0,1,0)</f>
        <v>0</v>
      </c>
      <c r="BB54" s="328">
        <f>IF(BI54&lt;0,1,0)</f>
        <v>0</v>
      </c>
      <c r="BC54" s="329">
        <f t="shared" si="39"/>
        <v>0</v>
      </c>
      <c r="BD54" s="329">
        <f t="shared" si="40"/>
        <v>0</v>
      </c>
      <c r="BE54" s="329">
        <f t="shared" si="41"/>
        <v>0</v>
      </c>
      <c r="BF54" s="329">
        <f t="shared" si="42"/>
        <v>0</v>
      </c>
      <c r="BG54" s="329">
        <f t="shared" si="43"/>
        <v>0</v>
      </c>
      <c r="BH54" s="329" t="str">
        <f t="shared" si="44"/>
        <v>M</v>
      </c>
      <c r="BI54" s="329">
        <f t="shared" si="45"/>
        <v>0</v>
      </c>
      <c r="BJ54" s="329"/>
      <c r="BK54" s="329"/>
      <c r="BL54" s="329" t="e">
        <f t="shared" si="46"/>
        <v>#VALUE!</v>
      </c>
      <c r="BM54" s="329">
        <f t="shared" si="47"/>
        <v>0</v>
      </c>
      <c r="BN54" s="329"/>
      <c r="BO54" s="330"/>
      <c r="BQ54" s="268"/>
      <c r="BR54" s="248"/>
      <c r="BS54" s="248">
        <f>AE45</f>
        <v>0</v>
      </c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9"/>
      <c r="DB54" s="249"/>
      <c r="DC54" s="249"/>
      <c r="DD54" s="249"/>
      <c r="DE54" s="249"/>
      <c r="DF54" s="249"/>
      <c r="DG54" s="248"/>
      <c r="DH54" s="248"/>
      <c r="DI54" s="249"/>
      <c r="DJ54" s="249"/>
      <c r="DK54" s="249"/>
      <c r="DL54" s="249"/>
      <c r="DM54" s="249"/>
      <c r="DN54" s="249"/>
      <c r="DO54" s="248"/>
      <c r="DP54" s="248"/>
      <c r="DQ54" s="249"/>
      <c r="DR54" s="249"/>
      <c r="DS54" s="249"/>
      <c r="DT54" s="236"/>
      <c r="DU54" s="236"/>
      <c r="DV54" s="236"/>
      <c r="DW54" s="236"/>
      <c r="DX54" s="236"/>
      <c r="DY54" s="236"/>
      <c r="DZ54" s="236"/>
      <c r="EA54" s="248"/>
      <c r="EB54" s="236"/>
      <c r="EC54" s="236"/>
      <c r="ED54" s="236"/>
      <c r="EE54" s="236"/>
      <c r="EF54" s="236"/>
      <c r="EG54" s="252"/>
      <c r="EH54" s="248"/>
      <c r="EI54" s="248"/>
      <c r="EJ54" s="248"/>
      <c r="EK54" s="248"/>
      <c r="EL54" s="248"/>
      <c r="EM54" s="248"/>
      <c r="EN54" s="248"/>
      <c r="EO54" s="236"/>
      <c r="EP54" s="236"/>
      <c r="EQ54" s="236"/>
      <c r="ER54" s="236"/>
      <c r="ES54" s="236"/>
      <c r="ET54" s="236"/>
      <c r="EU54" s="248"/>
      <c r="EV54" s="248"/>
      <c r="EW54" s="248"/>
      <c r="EX54" s="248"/>
      <c r="EY54" s="248"/>
      <c r="EZ54" s="248"/>
      <c r="FA54" s="248"/>
      <c r="FB54" s="248"/>
      <c r="FC54" s="248"/>
      <c r="FD54" s="248"/>
      <c r="FF54" s="248"/>
      <c r="FG54" s="248"/>
      <c r="FH54" s="248"/>
      <c r="FI54" s="248"/>
      <c r="FJ54" s="236"/>
      <c r="FK54" s="236"/>
      <c r="FL54" s="236"/>
      <c r="FM54" s="236"/>
    </row>
    <row r="55" spans="1:169" ht="27.95" customHeight="1" thickTop="1" thickBot="1" x14ac:dyDescent="0.25">
      <c r="A55" s="877" t="s">
        <v>290</v>
      </c>
      <c r="B55" s="878"/>
      <c r="C55" s="868" t="str">
        <f>IF($AB51&lt;6,"",IF($X52=2,C38,IF($Y52=2,C39,IF($Z52=2,C40,IF($AA52=2,C41)))))</f>
        <v/>
      </c>
      <c r="D55" s="869"/>
      <c r="E55" s="804" t="str">
        <f>IF(C55="","",VLOOKUP(C55,liste!$A$9:$G$145,2,FALSE))</f>
        <v/>
      </c>
      <c r="F55" s="805"/>
      <c r="G55" s="805"/>
      <c r="H55" s="805"/>
      <c r="I55" s="806"/>
      <c r="J55" s="585" t="str">
        <f>IF(C55="","",VLOOKUP(C55,liste!$A$9:$G$145,4,FALSE))</f>
        <v/>
      </c>
      <c r="K55" s="804" t="str">
        <f>IF(C55="","",VLOOKUP(C55,liste!$A$9:$G$145,3,FALSE))</f>
        <v/>
      </c>
      <c r="L55" s="805"/>
      <c r="M55" s="805"/>
      <c r="N55" s="806"/>
      <c r="O55" s="504"/>
      <c r="P55" s="825">
        <f>$P$26</f>
        <v>0</v>
      </c>
      <c r="Q55" s="825"/>
      <c r="R55" s="825"/>
      <c r="S55" s="825"/>
      <c r="T55" s="825"/>
      <c r="U55" s="825"/>
      <c r="V55" s="504"/>
      <c r="W55" s="504"/>
      <c r="X55" s="504"/>
      <c r="Y55" s="504"/>
      <c r="Z55" s="504"/>
      <c r="AA55" s="506"/>
      <c r="AC55" s="331"/>
      <c r="AD55" s="332"/>
      <c r="AE55" s="332"/>
      <c r="AF55" s="333"/>
      <c r="AG55" s="333"/>
      <c r="AH55" s="333"/>
      <c r="AI55" s="333"/>
      <c r="AJ55" s="334"/>
      <c r="AK55" s="334"/>
      <c r="AL55" s="335"/>
      <c r="AM55" s="334" t="s">
        <v>72</v>
      </c>
      <c r="AN55" s="333"/>
      <c r="AO55" s="336"/>
      <c r="AP55" s="337">
        <f>SUM(AP49:AP54)</f>
        <v>0</v>
      </c>
      <c r="AQ55" s="338">
        <f>SUM(AQ49:AQ54)</f>
        <v>0</v>
      </c>
      <c r="AR55" s="338">
        <f>SUM(AR49:AR54)</f>
        <v>0</v>
      </c>
      <c r="AS55" s="339">
        <f>SUM(AS49:AS54)</f>
        <v>0</v>
      </c>
      <c r="AT55" s="340">
        <f>SUM(AT49:AT54)</f>
        <v>0</v>
      </c>
      <c r="AU55" s="252"/>
      <c r="AV55" s="236"/>
      <c r="AW55" s="236"/>
      <c r="AX55" s="236"/>
      <c r="AY55" s="323"/>
      <c r="AZ55" s="323"/>
      <c r="BA55" s="323"/>
      <c r="BB55" s="323"/>
      <c r="BC55" s="323"/>
      <c r="BD55" s="252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49"/>
      <c r="BR55" s="248"/>
      <c r="BS55" s="248">
        <f>AE46</f>
        <v>0</v>
      </c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248"/>
      <c r="CW55" s="248"/>
      <c r="CX55" s="248"/>
      <c r="CY55" s="248"/>
      <c r="CZ55" s="248"/>
      <c r="DA55" s="249"/>
      <c r="DB55" s="249"/>
      <c r="DC55" s="249"/>
      <c r="DD55" s="249"/>
      <c r="DE55" s="249"/>
      <c r="DF55" s="249"/>
      <c r="DG55" s="248"/>
      <c r="DH55" s="248"/>
      <c r="DI55" s="249"/>
      <c r="DJ55" s="249"/>
      <c r="DK55" s="249"/>
      <c r="DL55" s="249"/>
      <c r="DM55" s="249"/>
      <c r="DN55" s="249"/>
      <c r="DO55" s="248"/>
      <c r="DP55" s="248"/>
      <c r="DQ55" s="249"/>
      <c r="DR55" s="249"/>
      <c r="DS55" s="249"/>
      <c r="DT55" s="249"/>
      <c r="DU55" s="249"/>
      <c r="DV55" s="249"/>
      <c r="DW55" s="248"/>
      <c r="DX55" s="248"/>
      <c r="DY55" s="249"/>
      <c r="DZ55" s="249"/>
      <c r="EA55" s="236"/>
      <c r="EB55" s="249"/>
      <c r="EC55" s="249"/>
      <c r="ED55" s="249"/>
      <c r="EE55" s="248">
        <f>SUM(DY55:ED55)</f>
        <v>0</v>
      </c>
      <c r="EF55" s="248"/>
      <c r="EG55" s="236"/>
      <c r="EH55" s="248"/>
      <c r="EI55" s="248"/>
      <c r="EJ55" s="248"/>
      <c r="EK55" s="248"/>
      <c r="EL55" s="248"/>
      <c r="EM55" s="248"/>
      <c r="EN55" s="248"/>
      <c r="EO55" s="236"/>
      <c r="EP55" s="236"/>
      <c r="EQ55" s="236"/>
      <c r="ER55" s="236"/>
      <c r="ES55" s="236"/>
      <c r="ET55" s="236"/>
      <c r="EU55" s="248"/>
      <c r="EV55" s="248"/>
      <c r="EW55" s="236"/>
      <c r="EX55" s="236"/>
      <c r="EY55" s="236"/>
      <c r="EZ55" s="236"/>
      <c r="FA55" s="236"/>
      <c r="FB55" s="236"/>
      <c r="FC55" s="248"/>
      <c r="FD55" s="248"/>
      <c r="FE55" s="248"/>
      <c r="FF55" s="248"/>
      <c r="FG55" s="248"/>
      <c r="FH55" s="248"/>
      <c r="FI55" s="248"/>
      <c r="FJ55" s="236"/>
      <c r="FK55" s="236"/>
      <c r="FL55" s="236"/>
      <c r="FM55" s="236"/>
    </row>
    <row r="56" spans="1:169" ht="27.95" customHeight="1" thickTop="1" x14ac:dyDescent="0.2">
      <c r="A56" s="877" t="s">
        <v>291</v>
      </c>
      <c r="B56" s="878"/>
      <c r="C56" s="868" t="str">
        <f>IF($AB51&lt;6,"",IF($X52=3,C38,IF($Y52=3,C39,IF($Z52=3,C40,IF($AA52=3,C41)))))</f>
        <v/>
      </c>
      <c r="D56" s="869"/>
      <c r="E56" s="804" t="str">
        <f>IF(C56="","",VLOOKUP(C56,liste!$A$9:$G$145,2,FALSE))</f>
        <v/>
      </c>
      <c r="F56" s="805"/>
      <c r="G56" s="805"/>
      <c r="H56" s="805"/>
      <c r="I56" s="806"/>
      <c r="J56" s="585" t="str">
        <f>IF(C56="","",VLOOKUP(C56,liste!$A$9:$G$145,4,FALSE))</f>
        <v/>
      </c>
      <c r="K56" s="804" t="str">
        <f>IF(C56="","",VLOOKUP(C56,liste!$A$9:$G$145,3,FALSE))</f>
        <v/>
      </c>
      <c r="L56" s="805"/>
      <c r="M56" s="805"/>
      <c r="N56" s="806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6"/>
      <c r="AU56" s="252"/>
      <c r="AV56" s="236"/>
      <c r="AW56" s="236"/>
      <c r="AX56" s="236"/>
      <c r="AY56" s="323"/>
      <c r="AZ56" s="323"/>
      <c r="BA56" s="323"/>
      <c r="BB56" s="323"/>
      <c r="BC56" s="323"/>
      <c r="BD56" s="252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  <c r="CV56" s="248"/>
      <c r="CW56" s="248"/>
      <c r="CX56" s="248"/>
      <c r="CY56" s="248"/>
      <c r="CZ56" s="248"/>
      <c r="DA56" s="249"/>
      <c r="DB56" s="249"/>
      <c r="DC56" s="249"/>
      <c r="DD56" s="249"/>
      <c r="DE56" s="249"/>
      <c r="DF56" s="249"/>
      <c r="DG56" s="248"/>
      <c r="DH56" s="248"/>
      <c r="DI56" s="249"/>
      <c r="DJ56" s="249"/>
      <c r="DK56" s="249"/>
      <c r="DL56" s="249"/>
      <c r="DM56" s="249"/>
      <c r="DN56" s="249"/>
      <c r="DO56" s="248"/>
      <c r="DP56" s="248"/>
      <c r="DQ56" s="249"/>
      <c r="DR56" s="249"/>
      <c r="DS56" s="249"/>
      <c r="DT56" s="249"/>
      <c r="DU56" s="249"/>
      <c r="DV56" s="249"/>
      <c r="DW56" s="248"/>
      <c r="DX56" s="248"/>
      <c r="DY56" s="249"/>
      <c r="DZ56" s="249"/>
      <c r="EA56" s="249"/>
      <c r="EB56" s="249"/>
      <c r="EC56" s="249"/>
      <c r="ED56" s="249"/>
      <c r="EE56" s="248">
        <f>SUM(DY56:ED56)</f>
        <v>0</v>
      </c>
      <c r="EF56" s="248"/>
      <c r="EG56" s="241"/>
      <c r="EH56" s="241"/>
      <c r="EI56" s="241"/>
      <c r="EJ56" s="241"/>
      <c r="EK56" s="241"/>
      <c r="EL56" s="241"/>
      <c r="EM56" s="248"/>
      <c r="EN56" s="248"/>
      <c r="EO56" s="248"/>
      <c r="EP56" s="248"/>
      <c r="EQ56" s="248"/>
      <c r="ER56" s="248"/>
      <c r="ES56" s="248"/>
      <c r="ET56" s="248"/>
      <c r="EU56" s="248"/>
      <c r="EV56" s="248"/>
      <c r="EW56" s="248"/>
      <c r="EX56" s="248"/>
      <c r="EY56" s="248"/>
      <c r="EZ56" s="248"/>
      <c r="FA56" s="248"/>
      <c r="FB56" s="248"/>
      <c r="FC56" s="248"/>
      <c r="FD56" s="248"/>
      <c r="FE56" s="248"/>
      <c r="FF56" s="248"/>
      <c r="FG56" s="248"/>
      <c r="FH56" s="248"/>
      <c r="FI56" s="248"/>
      <c r="FJ56" s="236"/>
      <c r="FK56" s="236"/>
      <c r="FL56" s="236"/>
      <c r="FM56" s="236"/>
    </row>
    <row r="57" spans="1:169" ht="21.95" customHeight="1" thickBot="1" x14ac:dyDescent="0.25">
      <c r="A57" s="888" t="s">
        <v>292</v>
      </c>
      <c r="B57" s="889"/>
      <c r="C57" s="860" t="str">
        <f>IF($AB51&lt;6,"",IF($X52=4,C38,IF($Y52=4,C39,IF($Z52=4,C40,IF(AA52=4,C41)))))</f>
        <v/>
      </c>
      <c r="D57" s="861"/>
      <c r="E57" s="814" t="str">
        <f>IF(C57="","",VLOOKUP(C57,liste!$A$9:$G$145,2,FALSE))</f>
        <v/>
      </c>
      <c r="F57" s="815"/>
      <c r="G57" s="815"/>
      <c r="H57" s="815"/>
      <c r="I57" s="816"/>
      <c r="J57" s="586" t="str">
        <f>IF(C57="","",VLOOKUP(C57,liste!$A$9:$G$145,4,FALSE))</f>
        <v/>
      </c>
      <c r="K57" s="814" t="str">
        <f>IF(C57="","",VLOOKUP(C57,liste!$A$9:$G$145,3,FALSE))</f>
        <v/>
      </c>
      <c r="L57" s="815"/>
      <c r="M57" s="815"/>
      <c r="N57" s="81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C57" s="599"/>
      <c r="AD57" s="599"/>
      <c r="AE57" s="599"/>
      <c r="AF57" s="599"/>
      <c r="AG57" s="599"/>
      <c r="AH57" s="599"/>
      <c r="AI57" s="599"/>
      <c r="AJ57" s="599"/>
      <c r="AK57" s="599"/>
      <c r="AL57" s="599"/>
      <c r="AM57" s="599"/>
      <c r="AN57" s="599"/>
      <c r="AO57" s="599"/>
      <c r="AP57" s="599"/>
      <c r="AU57" s="252"/>
      <c r="AV57" s="236"/>
      <c r="AW57" s="236"/>
      <c r="AX57" s="236"/>
      <c r="AY57" s="323"/>
      <c r="AZ57" s="323"/>
      <c r="BA57" s="323"/>
      <c r="BB57" s="323"/>
      <c r="BC57" s="323"/>
      <c r="BD57" s="252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1"/>
      <c r="CG57" s="241"/>
      <c r="CH57" s="248"/>
      <c r="CI57" s="248"/>
      <c r="CJ57" s="248"/>
      <c r="CK57" s="248"/>
      <c r="CL57" s="248"/>
      <c r="CM57" s="248"/>
      <c r="CN57" s="248"/>
      <c r="CO57" s="248"/>
      <c r="CP57" s="248"/>
      <c r="CQ57" s="248"/>
      <c r="CR57" s="248"/>
      <c r="CS57" s="248" t="s">
        <v>5</v>
      </c>
      <c r="CT57" s="248" t="s">
        <v>5</v>
      </c>
      <c r="CU57" s="248"/>
      <c r="CV57" s="248"/>
      <c r="CW57" s="248" t="s">
        <v>5</v>
      </c>
      <c r="CX57" s="248" t="s">
        <v>5</v>
      </c>
      <c r="CY57" s="248"/>
      <c r="CZ57" s="248"/>
      <c r="DA57" s="249" t="s">
        <v>5</v>
      </c>
      <c r="DB57" s="249" t="s">
        <v>5</v>
      </c>
      <c r="DC57" s="249"/>
      <c r="DD57" s="249"/>
      <c r="DE57" s="249" t="s">
        <v>5</v>
      </c>
      <c r="DF57" s="249" t="s">
        <v>5</v>
      </c>
      <c r="DG57" s="248"/>
      <c r="DH57" s="248"/>
      <c r="DI57" s="249" t="s">
        <v>5</v>
      </c>
      <c r="DJ57" s="249" t="s">
        <v>5</v>
      </c>
      <c r="DK57" s="249"/>
      <c r="DL57" s="249"/>
      <c r="DM57" s="249" t="s">
        <v>5</v>
      </c>
      <c r="DN57" s="249" t="s">
        <v>5</v>
      </c>
      <c r="DO57" s="248"/>
      <c r="DP57" s="248"/>
      <c r="DQ57" s="249" t="s">
        <v>5</v>
      </c>
      <c r="DR57" s="249" t="s">
        <v>5</v>
      </c>
      <c r="DS57" s="249"/>
      <c r="DT57" s="249"/>
      <c r="DU57" s="249" t="s">
        <v>5</v>
      </c>
      <c r="DV57" s="249" t="s">
        <v>5</v>
      </c>
      <c r="DW57" s="248"/>
      <c r="DX57" s="248"/>
      <c r="DY57" s="249" t="s">
        <v>5</v>
      </c>
      <c r="DZ57" s="249" t="s">
        <v>71</v>
      </c>
      <c r="EA57" s="249" t="s">
        <v>5</v>
      </c>
      <c r="EB57" s="249"/>
      <c r="EC57" s="249"/>
      <c r="ED57" s="249" t="s">
        <v>5</v>
      </c>
      <c r="EE57" s="248">
        <f>SUM(DY57:ED57)</f>
        <v>0</v>
      </c>
      <c r="EF57" s="248"/>
      <c r="EG57" s="248"/>
      <c r="EH57" s="248"/>
      <c r="EI57" s="248"/>
      <c r="EJ57" s="248"/>
      <c r="EK57" s="248"/>
      <c r="EL57" s="248"/>
      <c r="EM57" s="248"/>
      <c r="EN57" s="248"/>
      <c r="EO57" s="248" t="s">
        <v>5</v>
      </c>
      <c r="EP57" s="248" t="s">
        <v>71</v>
      </c>
      <c r="EQ57" s="248" t="s">
        <v>5</v>
      </c>
      <c r="ER57" s="248"/>
      <c r="ES57" s="248"/>
      <c r="ET57" s="248" t="s">
        <v>5</v>
      </c>
      <c r="EU57" s="248"/>
      <c r="EV57" s="248"/>
      <c r="EW57" s="248" t="s">
        <v>5</v>
      </c>
      <c r="EX57" s="248" t="s">
        <v>5</v>
      </c>
      <c r="EY57" s="248"/>
      <c r="EZ57" s="248"/>
      <c r="FA57" s="248" t="s">
        <v>5</v>
      </c>
      <c r="FB57" s="248" t="s">
        <v>5</v>
      </c>
      <c r="FC57" s="248"/>
      <c r="FD57" s="248"/>
      <c r="FE57" s="248"/>
      <c r="FF57" s="248"/>
      <c r="FG57" s="248"/>
      <c r="FH57" s="248"/>
      <c r="FI57" s="248"/>
      <c r="FJ57" s="236"/>
      <c r="FK57" s="236"/>
      <c r="FL57" s="236"/>
      <c r="FM57" s="236"/>
    </row>
    <row r="58" spans="1:169" x14ac:dyDescent="0.2">
      <c r="A58" s="602"/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/>
      <c r="X58" s="602"/>
      <c r="Y58" s="602"/>
      <c r="Z58" s="602"/>
      <c r="AA58" s="602"/>
      <c r="AC58" s="599"/>
      <c r="AD58" s="599"/>
      <c r="AE58" s="599"/>
      <c r="AF58" s="599"/>
      <c r="AG58" s="599"/>
      <c r="AH58" s="599"/>
      <c r="AI58" s="599"/>
      <c r="AJ58" s="599"/>
      <c r="AK58" s="599"/>
      <c r="AL58" s="599"/>
      <c r="AM58" s="599"/>
      <c r="AN58" s="599"/>
      <c r="AO58" s="599"/>
      <c r="AP58" s="599"/>
    </row>
    <row r="59" spans="1:169" x14ac:dyDescent="0.2">
      <c r="AC59" s="599"/>
      <c r="AD59" s="599"/>
      <c r="AE59" s="599"/>
      <c r="AF59" s="599"/>
      <c r="AG59" s="599"/>
      <c r="AH59" s="599"/>
      <c r="AI59" s="599"/>
      <c r="AJ59" s="599"/>
      <c r="AK59" s="599"/>
      <c r="AL59" s="599"/>
      <c r="AM59" s="599"/>
      <c r="AN59" s="599"/>
      <c r="AO59" s="599"/>
      <c r="AP59" s="599"/>
    </row>
    <row r="60" spans="1:169" x14ac:dyDescent="0.2">
      <c r="AC60" s="599"/>
      <c r="AD60" s="599"/>
      <c r="AE60" s="599"/>
      <c r="AF60" s="599"/>
      <c r="AG60" s="599"/>
      <c r="AH60" s="599"/>
      <c r="AI60" s="599"/>
      <c r="AJ60" s="599"/>
      <c r="AK60" s="599"/>
      <c r="AL60" s="599"/>
      <c r="AM60" s="599"/>
      <c r="AN60" s="599"/>
      <c r="AO60" s="599"/>
      <c r="AP60" s="599"/>
    </row>
  </sheetData>
  <sheetProtection sheet="1" selectLockedCells="1"/>
  <mergeCells count="148">
    <mergeCell ref="A1:AA2"/>
    <mergeCell ref="A30:AA31"/>
    <mergeCell ref="P25:R25"/>
    <mergeCell ref="P54:R54"/>
    <mergeCell ref="F4:J4"/>
    <mergeCell ref="F33:J33"/>
    <mergeCell ref="X6:Z6"/>
    <mergeCell ref="X35:Z35"/>
    <mergeCell ref="P55:U55"/>
    <mergeCell ref="O38:P38"/>
    <mergeCell ref="O39:P39"/>
    <mergeCell ref="I39:N39"/>
    <mergeCell ref="I40:N40"/>
    <mergeCell ref="I41:N41"/>
    <mergeCell ref="Q40:Y40"/>
    <mergeCell ref="A41:B41"/>
    <mergeCell ref="F40:H40"/>
    <mergeCell ref="C41:E41"/>
    <mergeCell ref="C40:E40"/>
    <mergeCell ref="A55:B55"/>
    <mergeCell ref="O51:V51"/>
    <mergeCell ref="O52:V52"/>
    <mergeCell ref="F38:H38"/>
    <mergeCell ref="I38:N38"/>
    <mergeCell ref="A57:B57"/>
    <mergeCell ref="C55:D55"/>
    <mergeCell ref="A56:B56"/>
    <mergeCell ref="C56:D56"/>
    <mergeCell ref="C57:D57"/>
    <mergeCell ref="C39:E39"/>
    <mergeCell ref="A26:B26"/>
    <mergeCell ref="C26:D26"/>
    <mergeCell ref="A28:B28"/>
    <mergeCell ref="C28:D28"/>
    <mergeCell ref="A27:B27"/>
    <mergeCell ref="A40:B40"/>
    <mergeCell ref="A39:B39"/>
    <mergeCell ref="A54:B54"/>
    <mergeCell ref="C54:D54"/>
    <mergeCell ref="C38:E38"/>
    <mergeCell ref="A38:B38"/>
    <mergeCell ref="AC19:AD19"/>
    <mergeCell ref="I9:N9"/>
    <mergeCell ref="C9:E9"/>
    <mergeCell ref="I12:N12"/>
    <mergeCell ref="C11:E11"/>
    <mergeCell ref="Q12:Y12"/>
    <mergeCell ref="Q39:Y39"/>
    <mergeCell ref="Z38:AA38"/>
    <mergeCell ref="Z12:AA12"/>
    <mergeCell ref="Z39:AA39"/>
    <mergeCell ref="Q38:Y38"/>
    <mergeCell ref="X14:AA14"/>
    <mergeCell ref="R14:V14"/>
    <mergeCell ref="M16:Q16"/>
    <mergeCell ref="M17:Q17"/>
    <mergeCell ref="Z9:AA9"/>
    <mergeCell ref="O9:P9"/>
    <mergeCell ref="Q9:Y9"/>
    <mergeCell ref="Z41:AA41"/>
    <mergeCell ref="O41:P41"/>
    <mergeCell ref="Q41:Y41"/>
    <mergeCell ref="R43:V43"/>
    <mergeCell ref="Q11:Y11"/>
    <mergeCell ref="Z40:AA40"/>
    <mergeCell ref="F39:H39"/>
    <mergeCell ref="F41:H41"/>
    <mergeCell ref="F8:H8"/>
    <mergeCell ref="I8:N8"/>
    <mergeCell ref="Z8:AA8"/>
    <mergeCell ref="G17:K17"/>
    <mergeCell ref="G18:K18"/>
    <mergeCell ref="G19:K19"/>
    <mergeCell ref="G20:K20"/>
    <mergeCell ref="G21:K21"/>
    <mergeCell ref="F35:K35"/>
    <mergeCell ref="AC48:AD48"/>
    <mergeCell ref="O8:P8"/>
    <mergeCell ref="Q8:Y8"/>
    <mergeCell ref="C37:E37"/>
    <mergeCell ref="F37:H37"/>
    <mergeCell ref="I37:N37"/>
    <mergeCell ref="Q10:Y10"/>
    <mergeCell ref="O12:P12"/>
    <mergeCell ref="I10:N10"/>
    <mergeCell ref="C10:E10"/>
    <mergeCell ref="F10:H10"/>
    <mergeCell ref="Z37:AA37"/>
    <mergeCell ref="P26:U26"/>
    <mergeCell ref="O22:V22"/>
    <mergeCell ref="O23:V23"/>
    <mergeCell ref="T33:Y33"/>
    <mergeCell ref="Q37:Y37"/>
    <mergeCell ref="O37:P37"/>
    <mergeCell ref="X43:AA43"/>
    <mergeCell ref="Z10:AA10"/>
    <mergeCell ref="K25:N25"/>
    <mergeCell ref="K27:N27"/>
    <mergeCell ref="K28:N28"/>
    <mergeCell ref="O40:P40"/>
    <mergeCell ref="A11:B11"/>
    <mergeCell ref="Z11:AA11"/>
    <mergeCell ref="O11:P11"/>
    <mergeCell ref="O10:P10"/>
    <mergeCell ref="I11:N11"/>
    <mergeCell ref="C27:D27"/>
    <mergeCell ref="T4:Y4"/>
    <mergeCell ref="F6:K6"/>
    <mergeCell ref="C8:E8"/>
    <mergeCell ref="M19:Q19"/>
    <mergeCell ref="M20:Q20"/>
    <mergeCell ref="M21:Q21"/>
    <mergeCell ref="A9:B9"/>
    <mergeCell ref="F12:H12"/>
    <mergeCell ref="C12:E12"/>
    <mergeCell ref="A25:B25"/>
    <mergeCell ref="C25:D25"/>
    <mergeCell ref="F9:H9"/>
    <mergeCell ref="F11:H11"/>
    <mergeCell ref="A12:B12"/>
    <mergeCell ref="A10:B10"/>
    <mergeCell ref="E25:I25"/>
    <mergeCell ref="G16:K16"/>
    <mergeCell ref="M18:Q18"/>
    <mergeCell ref="K57:N57"/>
    <mergeCell ref="E54:I54"/>
    <mergeCell ref="E55:I55"/>
    <mergeCell ref="E56:I56"/>
    <mergeCell ref="E57:I57"/>
    <mergeCell ref="E26:I26"/>
    <mergeCell ref="E27:I27"/>
    <mergeCell ref="E28:I28"/>
    <mergeCell ref="K54:N54"/>
    <mergeCell ref="K55:N55"/>
    <mergeCell ref="K56:N56"/>
    <mergeCell ref="G47:K47"/>
    <mergeCell ref="G48:K48"/>
    <mergeCell ref="G49:K49"/>
    <mergeCell ref="G50:K50"/>
    <mergeCell ref="M45:Q45"/>
    <mergeCell ref="M46:Q46"/>
    <mergeCell ref="M47:Q47"/>
    <mergeCell ref="M48:Q48"/>
    <mergeCell ref="M49:Q49"/>
    <mergeCell ref="M50:Q50"/>
    <mergeCell ref="G45:K45"/>
    <mergeCell ref="G46:K46"/>
    <mergeCell ref="K26:N26"/>
  </mergeCells>
  <phoneticPr fontId="0" type="noConversion"/>
  <conditionalFormatting sqref="D34:Z34 D33:F33 K33:Z33 D35:T35">
    <cfRule type="cellIs" dxfId="24" priority="3" stopIfTrue="1" operator="equal">
      <formula>0</formula>
    </cfRule>
  </conditionalFormatting>
  <conditionalFormatting sqref="A16:Q21 W16:AA21 A45:Q50 W45:AA50 S25 V25:AA26 U27:AA27 S54:AA54 O57:AA57 U56:AA56 P55:AA55 A3:AA3 A1 A32:AA32 A29:AA29 A30 A36:AA44 A33:C35 A5:AA5 A4:F4 K4:AA4 A7:AA15 AA6 A6:T6 A51:AA52 O53:AA53 O54:O55 A54:N57 A22:AA23 O24:AA24 O25:P25 O26:U26 A25:N28 O28:AA28 AA33:AA35">
    <cfRule type="cellIs" dxfId="23" priority="7" stopIfTrue="1" operator="equal">
      <formula>0</formula>
    </cfRule>
  </conditionalFormatting>
  <conditionalFormatting sqref="P54">
    <cfRule type="cellIs" dxfId="22" priority="6" stopIfTrue="1" operator="equal">
      <formula>0</formula>
    </cfRule>
  </conditionalFormatting>
  <conditionalFormatting sqref="E17:E21">
    <cfRule type="expression" dxfId="21" priority="5">
      <formula>$E$16=0</formula>
    </cfRule>
  </conditionalFormatting>
  <conditionalFormatting sqref="E46:E50">
    <cfRule type="expression" dxfId="20" priority="4">
      <formula>$E$45=0</formula>
    </cfRule>
  </conditionalFormatting>
  <conditionalFormatting sqref="U6:X6">
    <cfRule type="cellIs" dxfId="19" priority="2" stopIfTrue="1" operator="equal">
      <formula>0</formula>
    </cfRule>
  </conditionalFormatting>
  <conditionalFormatting sqref="U35:X35">
    <cfRule type="cellIs" dxfId="18" priority="1" stopIfTrue="1" operator="equal">
      <formula>0</formula>
    </cfRule>
  </conditionalFormatting>
  <printOptions horizontalCentered="1" verticalCentered="1"/>
  <pageMargins left="0.11811023622047245" right="0.15748031496062992" top="0.15748031496062992" bottom="0.59055118110236227" header="0.23622047244094491" footer="0.47244094488188981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92D050"/>
    <pageSetUpPr fitToPage="1"/>
  </sheetPr>
  <dimension ref="A1:FM61"/>
  <sheetViews>
    <sheetView showGridLines="0" view="pageBreakPreview" topLeftCell="A34" zoomScale="60" zoomScaleNormal="65" workbookViewId="0">
      <selection activeCell="C39" sqref="C39:E39"/>
    </sheetView>
  </sheetViews>
  <sheetFormatPr baseColWidth="10" defaultColWidth="11.42578125" defaultRowHeight="12.75" x14ac:dyDescent="0.2"/>
  <cols>
    <col min="1" max="3" width="2.7109375" style="599" customWidth="1"/>
    <col min="4" max="4" width="4.7109375" style="599" customWidth="1"/>
    <col min="5" max="5" width="9.85546875" style="599" customWidth="1"/>
    <col min="6" max="6" width="6.7109375" style="599" customWidth="1"/>
    <col min="7" max="7" width="3.7109375" style="599" customWidth="1"/>
    <col min="8" max="11" width="7.7109375" style="599" customWidth="1"/>
    <col min="12" max="12" width="11.42578125" style="599"/>
    <col min="13" max="16" width="7.7109375" style="599" customWidth="1"/>
    <col min="17" max="17" width="3.7109375" style="599" customWidth="1"/>
    <col min="18" max="22" width="7.85546875" style="599" customWidth="1"/>
    <col min="23" max="23" width="1.7109375" style="599" customWidth="1"/>
    <col min="24" max="27" width="6.85546875" style="599" customWidth="1"/>
    <col min="28" max="28" width="11.42578125" style="599"/>
    <col min="29" max="31" width="11.42578125" style="235"/>
    <col min="32" max="47" width="5.7109375" style="235" customWidth="1"/>
    <col min="48" max="48" width="7.42578125" style="235" customWidth="1"/>
    <col min="49" max="59" width="5.7109375" style="235" customWidth="1"/>
    <col min="60" max="60" width="20.42578125" style="235" customWidth="1"/>
    <col min="61" max="61" width="5.7109375" style="235" customWidth="1"/>
    <col min="62" max="62" width="7.28515625" style="235" customWidth="1"/>
    <col min="63" max="65" width="5.7109375" style="235" customWidth="1"/>
    <col min="66" max="66" width="12.140625" style="235" customWidth="1"/>
    <col min="67" max="67" width="7.28515625" style="235" customWidth="1"/>
    <col min="68" max="165" width="5.7109375" style="235" customWidth="1"/>
    <col min="166" max="169" width="11.42578125" style="235"/>
    <col min="170" max="16384" width="11.42578125" style="599"/>
  </cols>
  <sheetData>
    <row r="1" spans="1:169" ht="21.95" customHeight="1" x14ac:dyDescent="0.2">
      <c r="A1" s="891" t="str">
        <f>liste!$A$4</f>
        <v>Circuit décathlon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</row>
    <row r="2" spans="1:169" ht="21.95" customHeight="1" x14ac:dyDescent="0.2">
      <c r="A2" s="891"/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</row>
    <row r="3" spans="1:169" ht="21.95" customHeight="1" x14ac:dyDescent="0.2">
      <c r="A3" s="502"/>
      <c r="B3" s="503"/>
      <c r="C3" s="504"/>
      <c r="D3" s="504"/>
      <c r="E3" s="504"/>
      <c r="F3" s="504"/>
      <c r="G3" s="503"/>
      <c r="H3" s="505"/>
      <c r="I3" s="506"/>
      <c r="J3" s="506"/>
      <c r="K3" s="506"/>
      <c r="L3" s="507"/>
      <c r="M3" s="506"/>
      <c r="N3" s="506"/>
      <c r="O3" s="508"/>
      <c r="P3" s="508"/>
      <c r="Q3" s="508"/>
      <c r="R3" s="508"/>
      <c r="S3" s="508"/>
      <c r="T3" s="504"/>
      <c r="U3" s="505"/>
      <c r="V3" s="505"/>
      <c r="W3" s="504"/>
      <c r="X3" s="504"/>
      <c r="Y3" s="504"/>
      <c r="Z3" s="504"/>
      <c r="AA3" s="502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</row>
    <row r="4" spans="1:169" ht="21.95" customHeight="1" x14ac:dyDescent="0.2">
      <c r="A4" s="503"/>
      <c r="B4" s="503"/>
      <c r="C4" s="504"/>
      <c r="D4" s="503"/>
      <c r="E4" s="509" t="s">
        <v>6</v>
      </c>
      <c r="F4" s="894" t="str">
        <f>liste!$A$5</f>
        <v>Champagné</v>
      </c>
      <c r="G4" s="894"/>
      <c r="H4" s="894"/>
      <c r="I4" s="894"/>
      <c r="J4" s="894"/>
      <c r="K4" s="506"/>
      <c r="L4" s="506"/>
      <c r="M4" s="506"/>
      <c r="N4" s="508"/>
      <c r="O4" s="508"/>
      <c r="P4" s="508"/>
      <c r="Q4" s="508"/>
      <c r="R4" s="508"/>
      <c r="S4" s="509" t="s">
        <v>7</v>
      </c>
      <c r="T4" s="846">
        <f>liste!$A$7</f>
        <v>43421</v>
      </c>
      <c r="U4" s="846"/>
      <c r="V4" s="846"/>
      <c r="W4" s="846"/>
      <c r="X4" s="846"/>
      <c r="Y4" s="846"/>
      <c r="Z4" s="510"/>
      <c r="AA4" s="50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</row>
    <row r="5" spans="1:169" ht="21.95" customHeight="1" x14ac:dyDescent="0.2">
      <c r="A5" s="503"/>
      <c r="B5" s="503"/>
      <c r="C5" s="503"/>
      <c r="D5" s="503"/>
      <c r="E5" s="503"/>
      <c r="F5" s="503"/>
      <c r="G5" s="506"/>
      <c r="H5" s="506"/>
      <c r="I5" s="506"/>
      <c r="J5" s="506"/>
      <c r="K5" s="506"/>
      <c r="L5" s="506"/>
      <c r="M5" s="506"/>
      <c r="N5" s="508"/>
      <c r="O5" s="508"/>
      <c r="P5" s="508"/>
      <c r="Q5" s="508"/>
      <c r="R5" s="508"/>
      <c r="S5" s="508"/>
      <c r="T5" s="508"/>
      <c r="U5" s="508"/>
      <c r="V5" s="506"/>
      <c r="W5" s="504"/>
      <c r="X5" s="504"/>
      <c r="Y5" s="504"/>
      <c r="Z5" s="506"/>
      <c r="AA5" s="50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</row>
    <row r="6" spans="1:169" ht="21.95" customHeight="1" x14ac:dyDescent="0.2">
      <c r="A6" s="502"/>
      <c r="B6" s="503"/>
      <c r="C6" s="503"/>
      <c r="D6" s="503"/>
      <c r="E6" s="509" t="s">
        <v>11</v>
      </c>
      <c r="F6" s="885" t="str">
        <f>liste!$A$6</f>
        <v>Minimes</v>
      </c>
      <c r="G6" s="885"/>
      <c r="H6" s="885"/>
      <c r="I6" s="885"/>
      <c r="J6" s="885"/>
      <c r="K6" s="885"/>
      <c r="L6" s="511" t="s">
        <v>2</v>
      </c>
      <c r="M6" s="512" t="s">
        <v>63</v>
      </c>
      <c r="N6" s="504"/>
      <c r="O6" s="513" t="s">
        <v>287</v>
      </c>
      <c r="P6" s="503"/>
      <c r="Q6" s="512">
        <f>Rens!C11</f>
        <v>0</v>
      </c>
      <c r="R6" s="503"/>
      <c r="S6" s="503"/>
      <c r="T6" s="508"/>
      <c r="U6" s="513"/>
      <c r="V6" s="514" t="s">
        <v>171</v>
      </c>
      <c r="W6" s="504"/>
      <c r="X6" s="895" t="str">
        <f>Rens!$E$1</f>
        <v>2018/2019</v>
      </c>
      <c r="Y6" s="895"/>
      <c r="Z6" s="895"/>
      <c r="AA6" s="511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</row>
    <row r="7" spans="1:169" ht="21.95" customHeight="1" thickBot="1" x14ac:dyDescent="0.25">
      <c r="A7" s="503"/>
      <c r="B7" s="503"/>
      <c r="C7" s="503"/>
      <c r="D7" s="503"/>
      <c r="E7" s="503"/>
      <c r="F7" s="503"/>
      <c r="G7" s="503"/>
      <c r="H7" s="506"/>
      <c r="I7" s="506"/>
      <c r="J7" s="506"/>
      <c r="K7" s="506"/>
      <c r="L7" s="506"/>
      <c r="M7" s="506"/>
      <c r="N7" s="506"/>
      <c r="O7" s="508"/>
      <c r="P7" s="508"/>
      <c r="Q7" s="508"/>
      <c r="R7" s="508"/>
      <c r="S7" s="508"/>
      <c r="T7" s="508"/>
      <c r="U7" s="508"/>
      <c r="V7" s="508"/>
      <c r="W7" s="508"/>
      <c r="X7" s="506"/>
      <c r="Y7" s="506"/>
      <c r="Z7" s="506"/>
      <c r="AA7" s="506"/>
      <c r="AC7" s="236"/>
      <c r="AD7" s="236"/>
      <c r="AE7" s="237" t="s">
        <v>58</v>
      </c>
      <c r="AF7" s="238"/>
      <c r="AG7" s="238"/>
      <c r="AH7" s="238"/>
      <c r="AI7" s="239" t="s">
        <v>22</v>
      </c>
      <c r="AJ7" s="237" t="s">
        <v>5</v>
      </c>
      <c r="AK7" s="238"/>
      <c r="AL7" s="237" t="s">
        <v>23</v>
      </c>
      <c r="AM7" s="238"/>
      <c r="AN7" s="238"/>
      <c r="AO7" s="238"/>
      <c r="AP7" s="238"/>
      <c r="AQ7" s="238" t="str">
        <f>IF(AI7&lt;&gt;" ",AI7," ")</f>
        <v>IG1</v>
      </c>
      <c r="AR7" s="238"/>
      <c r="AS7" s="240"/>
      <c r="AT7" s="241"/>
      <c r="AU7" s="241"/>
      <c r="AV7" s="241"/>
      <c r="AW7" s="241"/>
      <c r="AX7" s="241"/>
      <c r="AY7" s="241" t="s">
        <v>5</v>
      </c>
      <c r="AZ7" s="241"/>
      <c r="BA7" s="241" t="s">
        <v>24</v>
      </c>
      <c r="BB7" s="241"/>
      <c r="BC7" s="241"/>
      <c r="BD7" s="241"/>
      <c r="BE7" s="241"/>
      <c r="BF7" s="241"/>
      <c r="BG7" s="241"/>
      <c r="BH7" s="242" t="s">
        <v>10</v>
      </c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36"/>
      <c r="FK7" s="236"/>
      <c r="FL7" s="236"/>
      <c r="FM7" s="236"/>
    </row>
    <row r="8" spans="1:169" ht="24.95" customHeight="1" thickBot="1" x14ac:dyDescent="0.25">
      <c r="A8" s="511"/>
      <c r="B8" s="511"/>
      <c r="C8" s="836" t="s">
        <v>8</v>
      </c>
      <c r="D8" s="838"/>
      <c r="E8" s="837"/>
      <c r="F8" s="836" t="s">
        <v>16</v>
      </c>
      <c r="G8" s="838"/>
      <c r="H8" s="837"/>
      <c r="I8" s="836" t="s">
        <v>20</v>
      </c>
      <c r="J8" s="838"/>
      <c r="K8" s="838"/>
      <c r="L8" s="838"/>
      <c r="M8" s="838"/>
      <c r="N8" s="837"/>
      <c r="O8" s="836" t="s">
        <v>4</v>
      </c>
      <c r="P8" s="837"/>
      <c r="Q8" s="836" t="s">
        <v>12</v>
      </c>
      <c r="R8" s="838"/>
      <c r="S8" s="838"/>
      <c r="T8" s="838"/>
      <c r="U8" s="838"/>
      <c r="V8" s="838"/>
      <c r="W8" s="838"/>
      <c r="X8" s="838"/>
      <c r="Y8" s="837"/>
      <c r="Z8" s="836" t="s">
        <v>286</v>
      </c>
      <c r="AA8" s="837"/>
      <c r="AC8" s="236"/>
      <c r="AD8" s="236"/>
      <c r="AE8" s="237" t="s">
        <v>5</v>
      </c>
      <c r="AF8" s="237"/>
      <c r="AG8" s="239" t="s">
        <v>14</v>
      </c>
      <c r="AH8" s="237"/>
      <c r="AI8" s="237"/>
      <c r="AJ8" s="237"/>
      <c r="AK8" s="237"/>
      <c r="AL8" s="237" t="s">
        <v>5</v>
      </c>
      <c r="AM8" s="237"/>
      <c r="AN8" s="238"/>
      <c r="AO8" s="238"/>
      <c r="AP8" s="238"/>
      <c r="AQ8" s="238"/>
      <c r="AR8" s="238"/>
      <c r="AS8" s="240"/>
      <c r="AT8" s="241"/>
      <c r="AU8" s="241"/>
      <c r="AV8" s="241"/>
      <c r="AW8" s="241"/>
      <c r="AX8" s="241"/>
      <c r="AY8" s="241" t="s">
        <v>10</v>
      </c>
      <c r="AZ8" s="241"/>
      <c r="BA8" s="241" t="s">
        <v>25</v>
      </c>
      <c r="BB8" s="242" t="s">
        <v>26</v>
      </c>
      <c r="BC8" s="242" t="s">
        <v>27</v>
      </c>
      <c r="BD8" s="242" t="s">
        <v>28</v>
      </c>
      <c r="BE8" s="242" t="s">
        <v>29</v>
      </c>
      <c r="BF8" s="241" t="s">
        <v>30</v>
      </c>
      <c r="BG8" s="241"/>
      <c r="BH8" s="242" t="s">
        <v>31</v>
      </c>
      <c r="BI8" s="241"/>
      <c r="BJ8" s="241"/>
      <c r="BK8" s="241" t="s">
        <v>32</v>
      </c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36"/>
      <c r="FK8" s="236"/>
      <c r="FL8" s="236"/>
      <c r="FM8" s="236"/>
    </row>
    <row r="9" spans="1:169" ht="27.95" customHeight="1" x14ac:dyDescent="0.2">
      <c r="A9" s="807">
        <v>1</v>
      </c>
      <c r="B9" s="808"/>
      <c r="C9" s="862">
        <f>liste!A13</f>
        <v>5</v>
      </c>
      <c r="D9" s="863"/>
      <c r="E9" s="864"/>
      <c r="F9" s="811">
        <f>IF(C9="","",VLOOKUP(C9,liste!$A$9:$G$145,7,FALSE))</f>
        <v>7223318</v>
      </c>
      <c r="G9" s="812" t="e">
        <f>IF(F9="","",VLOOKUP(F9,liste!$A$9:$G$145,7,FALSE))</f>
        <v>#N/A</v>
      </c>
      <c r="H9" s="813" t="e">
        <f>IF(G9="","",VLOOKUP(G9,liste!$A$9:$G$145,7,FALSE))</f>
        <v>#N/A</v>
      </c>
      <c r="I9" s="849" t="str">
        <f>IF(C9="","",VLOOKUP(C9,liste!$A$9:$G$145,2,FALSE))</f>
        <v>BAUDET Léandre</v>
      </c>
      <c r="J9" s="850"/>
      <c r="K9" s="850"/>
      <c r="L9" s="850"/>
      <c r="M9" s="850"/>
      <c r="N9" s="851"/>
      <c r="O9" s="883">
        <f>IF(C9="","",VLOOKUP(C9,liste!$A$9:$G$145,4,FALSE))</f>
        <v>5</v>
      </c>
      <c r="P9" s="884" t="str">
        <f>IF(J9="","",VLOOKUP(J9,liste!$A$9:$G$145,4,FALSE))</f>
        <v/>
      </c>
      <c r="Q9" s="857" t="str">
        <f>IF(C9="","",VLOOKUP(C9,liste!$A$9:$G$145,3,FALSE))</f>
        <v>RUAUDIN TENNIS DE TABLE</v>
      </c>
      <c r="R9" s="858"/>
      <c r="S9" s="858"/>
      <c r="T9" s="858"/>
      <c r="U9" s="858"/>
      <c r="V9" s="858"/>
      <c r="W9" s="858"/>
      <c r="X9" s="858"/>
      <c r="Y9" s="859"/>
      <c r="Z9" s="857">
        <f>IF(C9="","",VLOOKUP(C9,liste!$A$9:$G$145,6,FALSE))</f>
        <v>500</v>
      </c>
      <c r="AA9" s="859" t="str">
        <f>IF(U9="","",VLOOKUP(U9,liste!$A$9:$G$145,4,FALSE))</f>
        <v/>
      </c>
      <c r="AB9" s="600" t="str">
        <f>"E"&amp;X23&amp;C9</f>
        <v>E5</v>
      </c>
      <c r="AC9" s="236"/>
      <c r="AD9" s="236"/>
      <c r="AE9" s="237" t="s">
        <v>33</v>
      </c>
      <c r="AF9" s="239">
        <v>1</v>
      </c>
      <c r="AG9" s="243">
        <f>C9</f>
        <v>5</v>
      </c>
      <c r="AH9" s="237" t="s">
        <v>5</v>
      </c>
      <c r="AI9" s="237" t="s">
        <v>5</v>
      </c>
      <c r="AJ9" s="237"/>
      <c r="AK9" s="237"/>
      <c r="AL9" s="237" t="s">
        <v>34</v>
      </c>
      <c r="AM9" s="237" t="e">
        <f>IF($BK$9=1,$AF$9,IF($BK$10=1,$AF$10,IF($BK$11=1,$AF$11,IF($BK$12=1,$AF$12,""))))</f>
        <v>#VALUE!</v>
      </c>
      <c r="AN9" s="238"/>
      <c r="AO9" s="244" t="e">
        <f>VLOOKUP(AM9,AF9:AG12,2)</f>
        <v>#VALUE!</v>
      </c>
      <c r="AP9" s="238"/>
      <c r="AQ9" s="238"/>
      <c r="AR9" s="238"/>
      <c r="AS9" s="240" t="s">
        <v>5</v>
      </c>
      <c r="AT9" s="241"/>
      <c r="AU9" s="241"/>
      <c r="AV9" s="245" t="e">
        <f>BH9</f>
        <v>#VALUE!</v>
      </c>
      <c r="AW9" s="241"/>
      <c r="AX9" s="241" t="s">
        <v>33</v>
      </c>
      <c r="AY9" s="241" t="e">
        <f>CF18</f>
        <v>#VALUE!</v>
      </c>
      <c r="AZ9" s="241"/>
      <c r="BA9" s="242" t="e">
        <f>IF(DE18&gt;0,CX18/DE18,IF(CX18&gt;0,CX18/1,0))</f>
        <v>#VALUE!</v>
      </c>
      <c r="BB9" s="242" t="e">
        <f>IF(DS18&gt;0,IF(BA9=0,0,DL18/DS18),IF(DL18&gt;0,DL18/1,0))</f>
        <v>#VALUE!</v>
      </c>
      <c r="BC9" s="241" t="e">
        <f>IF(BA9&lt;&gt;0,IF(EG18&gt;0,DZ18/EG18,0),0)</f>
        <v>#VALUE!</v>
      </c>
      <c r="BD9" s="241" t="s">
        <v>5</v>
      </c>
      <c r="BE9" s="242" t="e">
        <f>IF(EU18&gt;0,IF(BC9=0,0,EN18/EU18),IF(EN18&gt;0,EN18/1,0))</f>
        <v>#VALUE!</v>
      </c>
      <c r="BF9" s="242" t="e">
        <f>IF(BE9&lt;&gt;0,IF(FI18&gt;0,FB18/FI18,0),0)</f>
        <v>#VALUE!</v>
      </c>
      <c r="BG9" s="242" t="s">
        <v>33</v>
      </c>
      <c r="BH9" s="246" t="e">
        <f>AY9+BA9*0.01+BB9*0.0001+BC9*0.000001+BE9*0.00000001+BF9*0.0000000001</f>
        <v>#VALUE!</v>
      </c>
      <c r="BI9" s="241"/>
      <c r="BJ9" s="241"/>
      <c r="BK9" s="242" t="e">
        <f>RANK(BH9,BH9:BH15,)</f>
        <v>#VALUE!</v>
      </c>
      <c r="BL9" s="242"/>
      <c r="BM9" s="242"/>
      <c r="BN9" s="242"/>
      <c r="BO9" s="242" t="e">
        <f>IF(BH9=MIN(BH9:BH14),4,IF(BH9=MAX(BH9:BH14),1,0))</f>
        <v>#VALUE!</v>
      </c>
      <c r="BP9" s="242" t="e">
        <f>IF(BO9=0,BH9,0)</f>
        <v>#VALUE!</v>
      </c>
      <c r="BQ9" s="242" t="e">
        <f>IF(BP9&lt;&gt;0,IF(BP9=MAX(BP9:BP14),2,IF(BP9=MIN(BP9:BP14),3,0)),0)</f>
        <v>#VALUE!</v>
      </c>
      <c r="BR9" s="242" t="e">
        <f>IF(AND(BO9=0,BQ9=0),3,0)</f>
        <v>#VALUE!</v>
      </c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36"/>
      <c r="FK9" s="236"/>
      <c r="FL9" s="236"/>
      <c r="FM9" s="236"/>
    </row>
    <row r="10" spans="1:169" ht="27.95" customHeight="1" x14ac:dyDescent="0.2">
      <c r="A10" s="809">
        <v>2</v>
      </c>
      <c r="B10" s="810"/>
      <c r="C10" s="801">
        <f>liste!A20</f>
        <v>12</v>
      </c>
      <c r="D10" s="802"/>
      <c r="E10" s="803"/>
      <c r="F10" s="804">
        <f>IF(C10="","",VLOOKUP(C10,liste!$A$9:$G$145,7,FALSE))</f>
        <v>7223269</v>
      </c>
      <c r="G10" s="805" t="e">
        <f>IF(F10="","",VLOOKUP(F10,liste!$A$9:$G$145,7,FALSE))</f>
        <v>#N/A</v>
      </c>
      <c r="H10" s="806" t="e">
        <f>IF(G10="","",VLOOKUP(G10,liste!$A$9:$G$145,7,FALSE))</f>
        <v>#N/A</v>
      </c>
      <c r="I10" s="852" t="str">
        <f>IF(C10="","",VLOOKUP(C10,liste!$A$9:$G$145,2,FALSE))</f>
        <v>RENAUD Simon</v>
      </c>
      <c r="J10" s="853"/>
      <c r="K10" s="853"/>
      <c r="L10" s="853"/>
      <c r="M10" s="853"/>
      <c r="N10" s="854"/>
      <c r="O10" s="855">
        <f>IF(C10="","",VLOOKUP(C10,liste!$A$9:$G$145,4,FALSE))</f>
        <v>5</v>
      </c>
      <c r="P10" s="856" t="str">
        <f>IF(J10="","",VLOOKUP(J10,liste!$A$9:$G$145,4,FALSE))</f>
        <v/>
      </c>
      <c r="Q10" s="829" t="str">
        <f>IF(C10="","",VLOOKUP(C10,liste!$A$9:$G$145,3,FALSE))</f>
        <v>FOULLETOURTE T.T.</v>
      </c>
      <c r="R10" s="830"/>
      <c r="S10" s="830"/>
      <c r="T10" s="830"/>
      <c r="U10" s="830"/>
      <c r="V10" s="830"/>
      <c r="W10" s="830"/>
      <c r="X10" s="830"/>
      <c r="Y10" s="831"/>
      <c r="Z10" s="829">
        <f>IF(C10="","",VLOOKUP(C10,liste!$A$9:$G$145,6,FALSE))</f>
        <v>500</v>
      </c>
      <c r="AA10" s="831" t="str">
        <f>IF(U10="","",VLOOKUP(U10,liste!$A$9:$G$145,4,FALSE))</f>
        <v/>
      </c>
      <c r="AB10" s="600" t="str">
        <f>"E"&amp;Y23&amp;C10</f>
        <v>E12</v>
      </c>
      <c r="AC10" s="236"/>
      <c r="AD10" s="236"/>
      <c r="AE10" s="237" t="s">
        <v>35</v>
      </c>
      <c r="AF10" s="239">
        <v>2</v>
      </c>
      <c r="AG10" s="243">
        <f>C10</f>
        <v>12</v>
      </c>
      <c r="AH10" s="237" t="s">
        <v>5</v>
      </c>
      <c r="AI10" s="237" t="s">
        <v>5</v>
      </c>
      <c r="AJ10" s="237"/>
      <c r="AK10" s="237"/>
      <c r="AL10" s="237" t="s">
        <v>59</v>
      </c>
      <c r="AM10" s="237" t="e">
        <f>IF($BK$9=2,$AF$9,IF($BK$10=2,$AF$10,IF($BK$11=2,$AF$11,IF($BK$12=2,$AF$12,""))))</f>
        <v>#VALUE!</v>
      </c>
      <c r="AN10" s="238"/>
      <c r="AO10" s="244" t="e">
        <f>VLOOKUP(AM10,AF9:AG12,2)</f>
        <v>#VALUE!</v>
      </c>
      <c r="AP10" s="238"/>
      <c r="AQ10" s="238"/>
      <c r="AR10" s="238"/>
      <c r="AS10" s="240" t="s">
        <v>5</v>
      </c>
      <c r="AT10" s="241"/>
      <c r="AU10" s="241"/>
      <c r="AV10" s="245" t="e">
        <f>BH10</f>
        <v>#VALUE!</v>
      </c>
      <c r="AW10" s="241"/>
      <c r="AX10" s="241" t="s">
        <v>35</v>
      </c>
      <c r="AY10" s="241" t="e">
        <f>CF19</f>
        <v>#VALUE!</v>
      </c>
      <c r="AZ10" s="241"/>
      <c r="BA10" s="242" t="e">
        <f>IF(DE19&gt;0,CX19/DE19,IF(CX19&gt;0,CX19/1,0))</f>
        <v>#VALUE!</v>
      </c>
      <c r="BB10" s="242" t="e">
        <f>IF(DS19&gt;0,IF(BA10=0,0,DL19/DS19),IF(DL19&gt;0,DL19/1,0))</f>
        <v>#VALUE!</v>
      </c>
      <c r="BC10" s="241" t="e">
        <f>IF(BA10&lt;&gt;0,IF(EG19&gt;0,DZ19/EG19,0),0)</f>
        <v>#VALUE!</v>
      </c>
      <c r="BD10" s="241" t="s">
        <v>5</v>
      </c>
      <c r="BE10" s="242" t="e">
        <f>IF(EU19&gt;0,IF(BC10=0,0,EN19/EU19),IF(EN19&gt;0,EN19/1,0))</f>
        <v>#VALUE!</v>
      </c>
      <c r="BF10" s="242" t="e">
        <f>IF(BE10&lt;&gt;0,IF(FI19&gt;0,FB19/FI19,0),0)</f>
        <v>#VALUE!</v>
      </c>
      <c r="BG10" s="242" t="s">
        <v>35</v>
      </c>
      <c r="BH10" s="246" t="e">
        <f>AY10+BA10*0.01+BB10*0.0001+BC10*0.000001+BE10*0.00000001+BF10*0.0000000001</f>
        <v>#VALUE!</v>
      </c>
      <c r="BI10" s="241"/>
      <c r="BJ10" s="241"/>
      <c r="BK10" s="242" t="e">
        <f>RANK(BH10,BH9:BH15,)</f>
        <v>#VALUE!</v>
      </c>
      <c r="BL10" s="242"/>
      <c r="BM10" s="242"/>
      <c r="BN10" s="242"/>
      <c r="BO10" s="242" t="e">
        <f>IF(BH10=MIN(BH9:BH14),4,IF(BH10=MAX(BH9:BH14),1,0))</f>
        <v>#VALUE!</v>
      </c>
      <c r="BP10" s="242" t="e">
        <f>IF(BO10=0,BH10,0)</f>
        <v>#VALUE!</v>
      </c>
      <c r="BQ10" s="242" t="e">
        <f>IF(BP10&lt;&gt;0,IF(BP10=MAX(BP9:BP14),2,IF(BP10=MIN(BP9:BP14),3,0)),0)</f>
        <v>#VALUE!</v>
      </c>
      <c r="BR10" s="242" t="e">
        <f>IF(AND(BO10=0,BQ10=0),3,0)</f>
        <v>#VALUE!</v>
      </c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36"/>
      <c r="FK10" s="236"/>
      <c r="FL10" s="236"/>
      <c r="FM10" s="236"/>
    </row>
    <row r="11" spans="1:169" ht="27.95" customHeight="1" x14ac:dyDescent="0.2">
      <c r="A11" s="809">
        <v>3</v>
      </c>
      <c r="B11" s="810"/>
      <c r="C11" s="801">
        <f>liste!A29</f>
        <v>21</v>
      </c>
      <c r="D11" s="802"/>
      <c r="E11" s="803"/>
      <c r="F11" s="804">
        <f>IF(C11="","",VLOOKUP(C11,liste!$A$9:$G$145,7,FALSE))</f>
        <v>7223227</v>
      </c>
      <c r="G11" s="805" t="e">
        <f>IF(F11="","",VLOOKUP(F11,liste!$A$9:$G$145,7,FALSE))</f>
        <v>#N/A</v>
      </c>
      <c r="H11" s="806" t="e">
        <f>IF(G11="","",VLOOKUP(G11,liste!$A$9:$G$145,7,FALSE))</f>
        <v>#N/A</v>
      </c>
      <c r="I11" s="852" t="str">
        <f>IF(C11="","",VLOOKUP(C11,liste!$A$9:$G$145,2,FALSE))</f>
        <v>DIALLO Medhi</v>
      </c>
      <c r="J11" s="853"/>
      <c r="K11" s="853"/>
      <c r="L11" s="853"/>
      <c r="M11" s="853"/>
      <c r="N11" s="854"/>
      <c r="O11" s="855">
        <f>IF(C11="","",VLOOKUP(C11,liste!$A$9:$G$145,4,FALSE))</f>
        <v>5</v>
      </c>
      <c r="P11" s="856" t="str">
        <f>IF(J11="","",VLOOKUP(J11,liste!$A$9:$G$145,4,FALSE))</f>
        <v/>
      </c>
      <c r="Q11" s="829" t="str">
        <f>IF(C11="","",VLOOKUP(C11,liste!$A$9:$G$145,3,FALSE))</f>
        <v>SAINTE JAMME TT</v>
      </c>
      <c r="R11" s="830"/>
      <c r="S11" s="830"/>
      <c r="T11" s="830"/>
      <c r="U11" s="830"/>
      <c r="V11" s="830"/>
      <c r="W11" s="830"/>
      <c r="X11" s="830"/>
      <c r="Y11" s="831"/>
      <c r="Z11" s="829">
        <f>IF(C11="","",VLOOKUP(C11,liste!$A$9:$G$145,6,FALSE))</f>
        <v>500</v>
      </c>
      <c r="AA11" s="831" t="str">
        <f>IF(U11="","",VLOOKUP(U11,liste!$A$9:$G$145,4,FALSE))</f>
        <v/>
      </c>
      <c r="AB11" s="600" t="str">
        <f>"E"&amp;Z23&amp;C11</f>
        <v>E21</v>
      </c>
      <c r="AC11" s="236"/>
      <c r="AD11" s="236"/>
      <c r="AE11" s="237" t="s">
        <v>36</v>
      </c>
      <c r="AF11" s="239">
        <v>3</v>
      </c>
      <c r="AG11" s="243">
        <f>C11</f>
        <v>21</v>
      </c>
      <c r="AH11" s="237" t="s">
        <v>5</v>
      </c>
      <c r="AI11" s="237" t="s">
        <v>5</v>
      </c>
      <c r="AJ11" s="237"/>
      <c r="AK11" s="237"/>
      <c r="AL11" s="237" t="s">
        <v>60</v>
      </c>
      <c r="AM11" s="237" t="e">
        <f>IF($BK$9=3,$AF$9,IF($BK$10=3,$AF$10,IF($BK$11=3,$AF$11,IF($BK$12=3,$AF$12,""))))</f>
        <v>#VALUE!</v>
      </c>
      <c r="AN11" s="238"/>
      <c r="AO11" s="244" t="e">
        <f>VLOOKUP(AM11,AF9:AG12,2)</f>
        <v>#VALUE!</v>
      </c>
      <c r="AP11" s="238"/>
      <c r="AQ11" s="238"/>
      <c r="AR11" s="238"/>
      <c r="AS11" s="240" t="s">
        <v>5</v>
      </c>
      <c r="AT11" s="241"/>
      <c r="AU11" s="241"/>
      <c r="AV11" s="245" t="e">
        <f>BH11</f>
        <v>#VALUE!</v>
      </c>
      <c r="AW11" s="241"/>
      <c r="AX11" s="241" t="s">
        <v>36</v>
      </c>
      <c r="AY11" s="241" t="e">
        <f>CF20</f>
        <v>#VALUE!</v>
      </c>
      <c r="AZ11" s="241"/>
      <c r="BA11" s="242" t="e">
        <f>IF(DE20&gt;0,CX20/DE20,IF(CX20&gt;0,CX20/1,0))</f>
        <v>#VALUE!</v>
      </c>
      <c r="BB11" s="242" t="e">
        <f>IF(DS20&gt;0,IF(BA11=0,0,DL20/DS20),IF(DL20&gt;0,DL20/1,0))</f>
        <v>#VALUE!</v>
      </c>
      <c r="BC11" s="241" t="e">
        <f>IF(BA11&lt;&gt;0,IF(EG20&gt;0,DZ20/EG20,0),0)</f>
        <v>#VALUE!</v>
      </c>
      <c r="BD11" s="241" t="s">
        <v>5</v>
      </c>
      <c r="BE11" s="242" t="e">
        <f>IF(EU20&gt;0,IF(BC11=0,0,EN20/EU20),IF(EN20&gt;0,EN20/1,0))</f>
        <v>#VALUE!</v>
      </c>
      <c r="BF11" s="242" t="e">
        <f>IF(BE11&lt;&gt;0,IF(FI20&gt;0,FB20/FI20,0),0)</f>
        <v>#VALUE!</v>
      </c>
      <c r="BG11" s="242" t="s">
        <v>36</v>
      </c>
      <c r="BH11" s="246" t="e">
        <f>AY11+BA11*0.01+BB11*0.0001+BC11*0.000001+BE11*0.00000001+BF11*0.0000000001</f>
        <v>#VALUE!</v>
      </c>
      <c r="BI11" s="241"/>
      <c r="BJ11" s="241"/>
      <c r="BK11" s="242" t="e">
        <f>RANK(BH11,BH9:BH15,)</f>
        <v>#VALUE!</v>
      </c>
      <c r="BL11" s="242"/>
      <c r="BM11" s="242"/>
      <c r="BN11" s="242"/>
      <c r="BO11" s="242" t="e">
        <f>IF(BH11=MIN(BH9:BH14),4,IF(BH11=MAX(BH9:BH14),1,0))</f>
        <v>#VALUE!</v>
      </c>
      <c r="BP11" s="242" t="e">
        <f>IF(BO11=0,BH11,0)</f>
        <v>#VALUE!</v>
      </c>
      <c r="BQ11" s="242" t="e">
        <f>IF(BP11&lt;&gt;0,IF(BP11=MAX(BP9:BP14),2,IF(BP11=MIN(BP9:BP14),3,0)),0)</f>
        <v>#VALUE!</v>
      </c>
      <c r="BR11" s="242" t="e">
        <f>IF(AND(BO11=0,BQ11=0),3,0)</f>
        <v>#VALUE!</v>
      </c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1"/>
      <c r="EW11" s="241"/>
      <c r="EX11" s="241"/>
      <c r="EY11" s="241"/>
      <c r="EZ11" s="241"/>
      <c r="FA11" s="241"/>
      <c r="FB11" s="241"/>
      <c r="FC11" s="241"/>
      <c r="FD11" s="241"/>
      <c r="FE11" s="241"/>
      <c r="FF11" s="241"/>
      <c r="FG11" s="241"/>
      <c r="FH11" s="241"/>
      <c r="FI11" s="241"/>
      <c r="FJ11" s="236"/>
      <c r="FK11" s="236"/>
      <c r="FL11" s="236"/>
      <c r="FM11" s="236"/>
    </row>
    <row r="12" spans="1:169" ht="27.95" customHeight="1" thickBot="1" x14ac:dyDescent="0.25">
      <c r="A12" s="872">
        <v>4</v>
      </c>
      <c r="B12" s="873"/>
      <c r="C12" s="865">
        <v>28</v>
      </c>
      <c r="D12" s="866"/>
      <c r="E12" s="867"/>
      <c r="F12" s="814">
        <f>IF(C12="","",VLOOKUP(C12,liste!$A$9:$G$145,7,FALSE))</f>
        <v>7223599</v>
      </c>
      <c r="G12" s="815" t="e">
        <f>IF(F12="","",VLOOKUP(F12,liste!$A$9:$G$145,7,FALSE))</f>
        <v>#N/A</v>
      </c>
      <c r="H12" s="816" t="e">
        <f>IF(G12="","",VLOOKUP(G12,liste!$A$9:$G$145,7,FALSE))</f>
        <v>#N/A</v>
      </c>
      <c r="I12" s="826" t="str">
        <f>IF(C12="","",VLOOKUP(C12,liste!$A$9:$G$145,2,FALSE))</f>
        <v>ROYER Mathis</v>
      </c>
      <c r="J12" s="827"/>
      <c r="K12" s="827"/>
      <c r="L12" s="827"/>
      <c r="M12" s="827"/>
      <c r="N12" s="828"/>
      <c r="O12" s="841">
        <f>IF(C12="","",VLOOKUP(C12,liste!$A$9:$G$145,4,FALSE))</f>
        <v>5</v>
      </c>
      <c r="P12" s="842" t="str">
        <f>IF(J12="","",VLOOKUP(J12,liste!$A$9:$G$145,4,FALSE))</f>
        <v/>
      </c>
      <c r="Q12" s="843" t="str">
        <f>IF(C12="","",VLOOKUP(C12,liste!$A$9:$G$145,3,FALSE))</f>
        <v>MAMERS CS</v>
      </c>
      <c r="R12" s="844"/>
      <c r="S12" s="844"/>
      <c r="T12" s="844"/>
      <c r="U12" s="844"/>
      <c r="V12" s="844"/>
      <c r="W12" s="844"/>
      <c r="X12" s="844"/>
      <c r="Y12" s="845"/>
      <c r="Z12" s="843">
        <f>IF(C12="","",VLOOKUP(C12,liste!$A$9:$G$145,6,FALSE))</f>
        <v>500</v>
      </c>
      <c r="AA12" s="845" t="str">
        <f>IF(U12="","",VLOOKUP(U12,liste!$A$9:$G$145,4,FALSE))</f>
        <v/>
      </c>
      <c r="AB12" s="600" t="str">
        <f>"E"&amp;AA23&amp;C12</f>
        <v>E28</v>
      </c>
      <c r="AC12" s="236"/>
      <c r="AD12" s="236"/>
      <c r="AE12" s="237" t="s">
        <v>61</v>
      </c>
      <c r="AF12" s="239">
        <v>4</v>
      </c>
      <c r="AG12" s="243">
        <f>C12</f>
        <v>28</v>
      </c>
      <c r="AH12" s="237" t="s">
        <v>5</v>
      </c>
      <c r="AI12" s="237" t="s">
        <v>5</v>
      </c>
      <c r="AJ12" s="237"/>
      <c r="AK12" s="237"/>
      <c r="AL12" s="237" t="s">
        <v>62</v>
      </c>
      <c r="AM12" s="237" t="e">
        <f>IF($BK$9=4,$AF$9,IF($BK$10=4,$AF$10,IF($BK$11=4,$AF$11,IF($BK$12=4,$AF$12,""))))</f>
        <v>#VALUE!</v>
      </c>
      <c r="AN12" s="238"/>
      <c r="AO12" s="244" t="e">
        <f>VLOOKUP(AM12,AF9:AG12,2)</f>
        <v>#VALUE!</v>
      </c>
      <c r="AP12" s="238"/>
      <c r="AQ12" s="238"/>
      <c r="AR12" s="238"/>
      <c r="AS12" s="240" t="s">
        <v>5</v>
      </c>
      <c r="AT12" s="247"/>
      <c r="AU12" s="241"/>
      <c r="AV12" s="245" t="e">
        <f>BH12</f>
        <v>#VALUE!</v>
      </c>
      <c r="AW12" s="241"/>
      <c r="AX12" s="241" t="s">
        <v>61</v>
      </c>
      <c r="AY12" s="241" t="e">
        <f>CF21</f>
        <v>#VALUE!</v>
      </c>
      <c r="AZ12" s="241"/>
      <c r="BA12" s="242" t="e">
        <f>IF(DE21&gt;0,CX21/DE21,IF(CX21&gt;0,CX21/1,0))</f>
        <v>#VALUE!</v>
      </c>
      <c r="BB12" s="242" t="e">
        <f>IF(DS21&gt;0,IF(BA12=0,0,DL21/DS21),IF(DL21&gt;0,DL21/1,0))</f>
        <v>#VALUE!</v>
      </c>
      <c r="BC12" s="241" t="e">
        <f>IF(BA12&lt;&gt;0,IF(EG21&gt;0,DZ21/EG21,0),0)</f>
        <v>#VALUE!</v>
      </c>
      <c r="BD12" s="241" t="s">
        <v>5</v>
      </c>
      <c r="BE12" s="242" t="e">
        <f>IF(EU21&gt;0,IF(BC12=0,0,EN21/EU21),IF(EN21&gt;0,EN21/1,0))</f>
        <v>#VALUE!</v>
      </c>
      <c r="BF12" s="241" t="e">
        <f>IF(BE12&lt;&gt;0,IF(FI21&gt;0,FB21/FI21,0),0)</f>
        <v>#VALUE!</v>
      </c>
      <c r="BG12" s="242" t="s">
        <v>61</v>
      </c>
      <c r="BH12" s="246" t="e">
        <f>AY12+BA12*0.01+BB12*0.0001+BC12*0.000001+BE12*0.00000001+BF12*0.0000000001</f>
        <v>#VALUE!</v>
      </c>
      <c r="BI12" s="241"/>
      <c r="BJ12" s="241"/>
      <c r="BK12" s="242" t="e">
        <f>RANK(BH12,BH9:BH15,)</f>
        <v>#VALUE!</v>
      </c>
      <c r="BL12" s="242"/>
      <c r="BM12" s="242"/>
      <c r="BN12" s="242"/>
      <c r="BO12" s="242" t="e">
        <f>IF(BH12=MIN(BH9:BH14),4,IF(BH12=MAX(BH9:BH14),1,0))</f>
        <v>#VALUE!</v>
      </c>
      <c r="BP12" s="242" t="e">
        <f>IF(BO12=0,BH12,0)</f>
        <v>#VALUE!</v>
      </c>
      <c r="BQ12" s="242" t="e">
        <f>IF(BP12&lt;&gt;0,IF(BP12=MAX(BP9:BP14),2,IF(BP12=MIN(BP9:BP14),3,0)),0)</f>
        <v>#VALUE!</v>
      </c>
      <c r="BR12" s="242" t="e">
        <f>IF(AND(BO12=0,BQ12=0),3,0)</f>
        <v>#VALUE!</v>
      </c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241"/>
      <c r="FE12" s="241"/>
      <c r="FF12" s="241"/>
      <c r="FG12" s="241"/>
      <c r="FH12" s="241"/>
      <c r="FI12" s="241"/>
      <c r="FJ12" s="236"/>
      <c r="FK12" s="236"/>
      <c r="FL12" s="236"/>
      <c r="FM12" s="236"/>
    </row>
    <row r="13" spans="1:169" ht="21.95" customHeight="1" thickBot="1" x14ac:dyDescent="0.25">
      <c r="A13" s="503"/>
      <c r="B13" s="503"/>
      <c r="C13" s="503"/>
      <c r="D13" s="503"/>
      <c r="E13" s="503"/>
      <c r="F13" s="503"/>
      <c r="G13" s="503"/>
      <c r="H13" s="506"/>
      <c r="I13" s="506"/>
      <c r="J13" s="506"/>
      <c r="K13" s="506"/>
      <c r="L13" s="506"/>
      <c r="M13" s="506"/>
      <c r="N13" s="506"/>
      <c r="O13" s="508"/>
      <c r="P13" s="508"/>
      <c r="Q13" s="508"/>
      <c r="R13" s="508"/>
      <c r="S13" s="508"/>
      <c r="T13" s="508"/>
      <c r="U13" s="508"/>
      <c r="V13" s="508"/>
      <c r="W13" s="508"/>
      <c r="X13" s="515"/>
      <c r="Y13" s="515"/>
      <c r="Z13" s="515"/>
      <c r="AA13" s="515"/>
      <c r="AC13" s="236"/>
      <c r="AD13" s="236"/>
      <c r="AE13" s="238"/>
      <c r="AF13" s="244"/>
      <c r="AG13" s="238"/>
      <c r="AH13" s="238"/>
      <c r="AI13" s="238"/>
      <c r="AJ13" s="238"/>
      <c r="AK13" s="238"/>
      <c r="AL13" s="238"/>
      <c r="AM13" s="238"/>
      <c r="AN13" s="238"/>
      <c r="AO13" s="244"/>
      <c r="AP13" s="238"/>
      <c r="AQ13" s="238"/>
      <c r="AR13" s="238"/>
      <c r="AS13" s="241"/>
      <c r="AT13" s="241"/>
      <c r="AU13" s="241"/>
      <c r="AV13" s="241"/>
      <c r="AW13" s="241"/>
      <c r="AX13" s="241"/>
      <c r="AY13" s="241"/>
      <c r="AZ13" s="241"/>
      <c r="BA13" s="242"/>
      <c r="BB13" s="242"/>
      <c r="BC13" s="241"/>
      <c r="BD13" s="241"/>
      <c r="BE13" s="242"/>
      <c r="BF13" s="241"/>
      <c r="BG13" s="242"/>
      <c r="BH13" s="246"/>
      <c r="BI13" s="241"/>
      <c r="BJ13" s="241"/>
      <c r="BK13" s="242"/>
      <c r="BL13" s="242"/>
      <c r="BM13" s="242"/>
      <c r="BN13" s="242"/>
      <c r="BO13" s="242"/>
      <c r="BP13" s="242"/>
      <c r="BQ13" s="242"/>
      <c r="BR13" s="242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241"/>
      <c r="EW13" s="241"/>
      <c r="EX13" s="241"/>
      <c r="EY13" s="241"/>
      <c r="EZ13" s="241"/>
      <c r="FA13" s="241"/>
      <c r="FB13" s="241"/>
      <c r="FC13" s="241"/>
      <c r="FD13" s="241"/>
      <c r="FE13" s="241"/>
      <c r="FF13" s="241"/>
      <c r="FG13" s="241"/>
      <c r="FH13" s="241"/>
      <c r="FI13" s="241"/>
      <c r="FJ13" s="236"/>
      <c r="FK13" s="236"/>
      <c r="FL13" s="236"/>
      <c r="FM13" s="236"/>
    </row>
    <row r="14" spans="1:169" ht="21.95" customHeight="1" thickBot="1" x14ac:dyDescent="0.25">
      <c r="A14" s="503"/>
      <c r="B14" s="503"/>
      <c r="C14" s="503"/>
      <c r="D14" s="503"/>
      <c r="E14" s="503"/>
      <c r="F14" s="503"/>
      <c r="G14" s="503"/>
      <c r="H14" s="506"/>
      <c r="I14" s="506"/>
      <c r="J14" s="506"/>
      <c r="K14" s="506"/>
      <c r="L14" s="506"/>
      <c r="M14" s="506"/>
      <c r="N14" s="506"/>
      <c r="O14" s="508"/>
      <c r="P14" s="508"/>
      <c r="Q14" s="508"/>
      <c r="R14" s="839" t="s">
        <v>19</v>
      </c>
      <c r="S14" s="840"/>
      <c r="T14" s="840"/>
      <c r="U14" s="840"/>
      <c r="V14" s="840"/>
      <c r="W14" s="516"/>
      <c r="X14" s="836" t="s">
        <v>10</v>
      </c>
      <c r="Y14" s="838"/>
      <c r="Z14" s="838"/>
      <c r="AA14" s="837"/>
      <c r="AC14" s="236"/>
      <c r="AD14" s="236"/>
      <c r="AE14" s="248"/>
      <c r="AF14" s="249"/>
      <c r="AG14" s="248"/>
      <c r="AH14" s="248"/>
      <c r="AI14" s="248"/>
      <c r="AJ14" s="248"/>
      <c r="AK14" s="248"/>
      <c r="AL14" s="248"/>
      <c r="AM14" s="248"/>
      <c r="AN14" s="248"/>
      <c r="AO14" s="249"/>
      <c r="AP14" s="248"/>
      <c r="AQ14" s="248"/>
      <c r="AR14" s="248"/>
      <c r="AS14" s="241"/>
      <c r="AT14" s="241"/>
      <c r="AU14" s="241"/>
      <c r="AV14" s="241"/>
      <c r="AW14" s="241"/>
      <c r="AX14" s="241"/>
      <c r="AY14" s="241"/>
      <c r="AZ14" s="241"/>
      <c r="BA14" s="242"/>
      <c r="BB14" s="242"/>
      <c r="BC14" s="241"/>
      <c r="BD14" s="241"/>
      <c r="BE14" s="241"/>
      <c r="BF14" s="241"/>
      <c r="BG14" s="242"/>
      <c r="BH14" s="246"/>
      <c r="BI14" s="241"/>
      <c r="BJ14" s="241"/>
      <c r="BK14" s="242"/>
      <c r="BL14" s="242"/>
      <c r="BM14" s="242"/>
      <c r="BN14" s="242"/>
      <c r="BO14" s="242"/>
      <c r="BP14" s="242"/>
      <c r="BQ14" s="242"/>
      <c r="BR14" s="242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36"/>
      <c r="FK14" s="236"/>
      <c r="FL14" s="236"/>
      <c r="FM14" s="236"/>
    </row>
    <row r="15" spans="1:169" ht="21.95" customHeight="1" thickBot="1" x14ac:dyDescent="0.25">
      <c r="A15" s="517"/>
      <c r="B15" s="517"/>
      <c r="C15" s="517"/>
      <c r="D15" s="517"/>
      <c r="E15" s="518" t="s">
        <v>181</v>
      </c>
      <c r="F15" s="519" t="s">
        <v>178</v>
      </c>
      <c r="G15" s="517"/>
      <c r="H15" s="515"/>
      <c r="I15" s="515"/>
      <c r="J15" s="515"/>
      <c r="K15" s="515"/>
      <c r="L15" s="515"/>
      <c r="M15" s="515"/>
      <c r="N15" s="515"/>
      <c r="O15" s="520"/>
      <c r="P15" s="520"/>
      <c r="Q15" s="520"/>
      <c r="R15" s="521">
        <v>1</v>
      </c>
      <c r="S15" s="522">
        <v>2</v>
      </c>
      <c r="T15" s="522">
        <v>3</v>
      </c>
      <c r="U15" s="523">
        <v>4</v>
      </c>
      <c r="V15" s="524">
        <v>5</v>
      </c>
      <c r="W15" s="516"/>
      <c r="X15" s="525">
        <v>1</v>
      </c>
      <c r="Y15" s="526">
        <v>2</v>
      </c>
      <c r="Z15" s="526">
        <v>3</v>
      </c>
      <c r="AA15" s="527">
        <v>4</v>
      </c>
      <c r="AC15" s="236"/>
      <c r="AD15" s="236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2"/>
      <c r="BL15" s="242"/>
      <c r="BM15" s="242"/>
      <c r="BN15" s="242"/>
      <c r="BO15" s="242"/>
      <c r="BP15" s="242"/>
      <c r="BQ15" s="242"/>
      <c r="BR15" s="242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241"/>
      <c r="DV15" s="241"/>
      <c r="DW15" s="241"/>
      <c r="DX15" s="241"/>
      <c r="DY15" s="241"/>
      <c r="DZ15" s="241"/>
      <c r="EA15" s="241"/>
      <c r="EB15" s="241"/>
      <c r="EC15" s="241"/>
      <c r="ED15" s="241"/>
      <c r="EE15" s="241"/>
      <c r="EF15" s="241"/>
      <c r="EG15" s="241"/>
      <c r="EH15" s="241"/>
      <c r="EI15" s="241"/>
      <c r="EJ15" s="241"/>
      <c r="EK15" s="241"/>
      <c r="EL15" s="241"/>
      <c r="EM15" s="241"/>
      <c r="EN15" s="241"/>
      <c r="EO15" s="241"/>
      <c r="EP15" s="241"/>
      <c r="EQ15" s="241"/>
      <c r="ER15" s="241"/>
      <c r="ES15" s="241"/>
      <c r="ET15" s="241"/>
      <c r="EU15" s="241"/>
      <c r="EV15" s="241"/>
      <c r="EW15" s="241"/>
      <c r="EX15" s="241"/>
      <c r="EY15" s="241"/>
      <c r="EZ15" s="241"/>
      <c r="FA15" s="241"/>
      <c r="FB15" s="241"/>
      <c r="FC15" s="241"/>
      <c r="FD15" s="241"/>
      <c r="FE15" s="241"/>
      <c r="FF15" s="241"/>
      <c r="FG15" s="241"/>
      <c r="FH15" s="241"/>
      <c r="FI15" s="241"/>
      <c r="FJ15" s="236"/>
      <c r="FK15" s="236"/>
      <c r="FL15" s="236"/>
      <c r="FM15" s="236"/>
    </row>
    <row r="16" spans="1:169" ht="27.95" customHeight="1" x14ac:dyDescent="0.2">
      <c r="A16" s="528">
        <v>1</v>
      </c>
      <c r="B16" s="529" t="s">
        <v>13</v>
      </c>
      <c r="C16" s="530">
        <v>4</v>
      </c>
      <c r="D16" s="531" t="str">
        <f>Rens!$F$4</f>
        <v>Sa</v>
      </c>
      <c r="E16" s="532">
        <f>Rens!$B$11</f>
        <v>0</v>
      </c>
      <c r="F16" s="533">
        <f>Rens!$C$11</f>
        <v>0</v>
      </c>
      <c r="G16" s="832" t="str">
        <f t="shared" ref="G16:G21" si="0" xml:space="preserve"> VLOOKUP(A16,$A$9:$O$12,9)</f>
        <v>BAUDET Léandre</v>
      </c>
      <c r="H16" s="821"/>
      <c r="I16" s="821"/>
      <c r="J16" s="821"/>
      <c r="K16" s="821"/>
      <c r="L16" s="534" t="s">
        <v>9</v>
      </c>
      <c r="M16" s="821" t="str">
        <f t="shared" ref="M16:M21" si="1" xml:space="preserve"> VLOOKUP(C16,$A$9:$O$12,9)</f>
        <v>ROYER Mathis</v>
      </c>
      <c r="N16" s="821"/>
      <c r="O16" s="821"/>
      <c r="P16" s="821"/>
      <c r="Q16" s="822"/>
      <c r="R16" s="535"/>
      <c r="S16" s="536"/>
      <c r="T16" s="536"/>
      <c r="U16" s="536"/>
      <c r="V16" s="537"/>
      <c r="W16" s="538"/>
      <c r="X16" s="539" t="str">
        <f>IF(AND(COUNTIF(($R16:$V16),"&gt;0")&gt;=2),1,IF(AND(COUNTIF(($R16:$V16),"&lt;0")&gt;=2),0,blanc))</f>
        <v xml:space="preserve"> </v>
      </c>
      <c r="Y16" s="540"/>
      <c r="Z16" s="540"/>
      <c r="AA16" s="541" t="str">
        <f>IF(AND(X16=0),1,IF(AND(X16=1),0,blanc))</f>
        <v xml:space="preserve"> </v>
      </c>
      <c r="AC16" s="236"/>
      <c r="AD16" s="236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>
        <f>BH16</f>
        <v>0</v>
      </c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 t="s">
        <v>41</v>
      </c>
      <c r="CT16" s="241"/>
      <c r="CU16" s="241"/>
      <c r="CV16" s="241"/>
      <c r="CW16" s="241"/>
      <c r="CX16" s="241"/>
      <c r="CY16" s="241"/>
      <c r="CZ16" s="241" t="s">
        <v>42</v>
      </c>
      <c r="DA16" s="241"/>
      <c r="DB16" s="241"/>
      <c r="DC16" s="241"/>
      <c r="DD16" s="241"/>
      <c r="DE16" s="236"/>
      <c r="DF16" s="241"/>
      <c r="DG16" s="241" t="s">
        <v>54</v>
      </c>
      <c r="DH16" s="241"/>
      <c r="DI16" s="241"/>
      <c r="DJ16" s="241"/>
      <c r="DK16" s="241"/>
      <c r="DL16" s="241"/>
      <c r="DM16" s="241"/>
      <c r="DN16" s="241" t="s">
        <v>55</v>
      </c>
      <c r="DO16" s="241"/>
      <c r="DP16" s="241"/>
      <c r="DQ16" s="241"/>
      <c r="DR16" s="241"/>
      <c r="DS16" s="241"/>
      <c r="DT16" s="241"/>
      <c r="DU16" s="241" t="s">
        <v>43</v>
      </c>
      <c r="DV16" s="241"/>
      <c r="DW16" s="241"/>
      <c r="DX16" s="241"/>
      <c r="DY16" s="241"/>
      <c r="DZ16" s="241"/>
      <c r="EA16" s="241"/>
      <c r="EB16" s="241" t="s">
        <v>44</v>
      </c>
      <c r="EC16" s="241"/>
      <c r="ED16" s="241"/>
      <c r="EE16" s="241"/>
      <c r="EF16" s="241"/>
      <c r="EG16" s="241"/>
      <c r="EH16" s="241"/>
      <c r="EI16" s="241" t="s">
        <v>56</v>
      </c>
      <c r="EJ16" s="241"/>
      <c r="EK16" s="241"/>
      <c r="EL16" s="241"/>
      <c r="EM16" s="241"/>
      <c r="EN16" s="241"/>
      <c r="EO16" s="241"/>
      <c r="EP16" s="241" t="s">
        <v>57</v>
      </c>
      <c r="EQ16" s="241"/>
      <c r="ER16" s="241"/>
      <c r="ES16" s="241"/>
      <c r="ET16" s="241"/>
      <c r="EU16" s="241"/>
      <c r="EV16" s="241"/>
      <c r="EW16" s="241" t="s">
        <v>45</v>
      </c>
      <c r="EX16" s="241"/>
      <c r="EY16" s="241"/>
      <c r="EZ16" s="241"/>
      <c r="FA16" s="241"/>
      <c r="FB16" s="241"/>
      <c r="FC16" s="241"/>
      <c r="FD16" s="241" t="s">
        <v>46</v>
      </c>
      <c r="FE16" s="241"/>
      <c r="FF16" s="241"/>
      <c r="FG16" s="241"/>
      <c r="FH16" s="241"/>
      <c r="FI16" s="241"/>
      <c r="FJ16" s="236"/>
      <c r="FK16" s="236"/>
      <c r="FL16" s="236"/>
      <c r="FM16" s="236"/>
    </row>
    <row r="17" spans="1:169" ht="27.95" customHeight="1" thickBot="1" x14ac:dyDescent="0.25">
      <c r="A17" s="542">
        <v>2</v>
      </c>
      <c r="B17" s="543" t="s">
        <v>13</v>
      </c>
      <c r="C17" s="544">
        <v>3</v>
      </c>
      <c r="D17" s="545"/>
      <c r="E17" s="546">
        <f>E16+0.021</f>
        <v>2.1000000000000001E-2</v>
      </c>
      <c r="F17" s="547">
        <f>F16</f>
        <v>0</v>
      </c>
      <c r="G17" s="817" t="str">
        <f t="shared" si="0"/>
        <v>RENAUD Simon</v>
      </c>
      <c r="H17" s="818"/>
      <c r="I17" s="818"/>
      <c r="J17" s="818"/>
      <c r="K17" s="818"/>
      <c r="L17" s="548" t="s">
        <v>9</v>
      </c>
      <c r="M17" s="818" t="str">
        <f t="shared" si="1"/>
        <v>DIALLO Medhi</v>
      </c>
      <c r="N17" s="818"/>
      <c r="O17" s="818"/>
      <c r="P17" s="818"/>
      <c r="Q17" s="823"/>
      <c r="R17" s="549"/>
      <c r="S17" s="550"/>
      <c r="T17" s="550"/>
      <c r="U17" s="551"/>
      <c r="V17" s="552"/>
      <c r="W17" s="538"/>
      <c r="X17" s="553"/>
      <c r="Y17" s="554" t="str">
        <f>IF(AND(COUNTIF(($R17:$V17),"&gt;0")&gt;=2),1,IF(AND(COUNTIF(($R17:$V17),"&lt;0")&gt;=2),0,blanc))</f>
        <v xml:space="preserve"> </v>
      </c>
      <c r="Z17" s="554" t="str">
        <f>IF(AND(Y17=0),1,IF(AND(Y17=1),0,blanc))</f>
        <v xml:space="preserve"> </v>
      </c>
      <c r="AA17" s="555"/>
      <c r="AC17" s="236"/>
      <c r="AD17" s="236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 t="s">
        <v>33</v>
      </c>
      <c r="BV17" s="241" t="s">
        <v>5</v>
      </c>
      <c r="BW17" s="241" t="s">
        <v>35</v>
      </c>
      <c r="BX17" s="241"/>
      <c r="BY17" s="241" t="s">
        <v>36</v>
      </c>
      <c r="BZ17" s="241"/>
      <c r="CA17" s="241" t="s">
        <v>61</v>
      </c>
      <c r="CB17" s="241"/>
      <c r="CC17" s="241"/>
      <c r="CD17" s="241"/>
      <c r="CE17" s="241"/>
      <c r="CF17" s="250" t="s">
        <v>52</v>
      </c>
      <c r="CG17" s="250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51" t="s">
        <v>33</v>
      </c>
      <c r="CT17" s="242" t="s">
        <v>35</v>
      </c>
      <c r="CU17" s="242" t="s">
        <v>36</v>
      </c>
      <c r="CV17" s="242" t="s">
        <v>61</v>
      </c>
      <c r="CW17" s="242"/>
      <c r="CX17" s="252"/>
      <c r="CY17" s="241"/>
      <c r="CZ17" s="251" t="s">
        <v>33</v>
      </c>
      <c r="DA17" s="242" t="s">
        <v>35</v>
      </c>
      <c r="DB17" s="242" t="s">
        <v>36</v>
      </c>
      <c r="DC17" s="242" t="s">
        <v>61</v>
      </c>
      <c r="DD17" s="242"/>
      <c r="DE17" s="236"/>
      <c r="DF17" s="241"/>
      <c r="DG17" s="251" t="s">
        <v>33</v>
      </c>
      <c r="DH17" s="242" t="s">
        <v>35</v>
      </c>
      <c r="DI17" s="242" t="s">
        <v>36</v>
      </c>
      <c r="DJ17" s="242" t="s">
        <v>61</v>
      </c>
      <c r="DK17" s="242"/>
      <c r="DL17" s="252"/>
      <c r="DM17" s="241"/>
      <c r="DN17" s="251" t="s">
        <v>33</v>
      </c>
      <c r="DO17" s="242" t="s">
        <v>35</v>
      </c>
      <c r="DP17" s="242" t="s">
        <v>36</v>
      </c>
      <c r="DQ17" s="242" t="s">
        <v>61</v>
      </c>
      <c r="DR17" s="242"/>
      <c r="DS17" s="249"/>
      <c r="DT17" s="236"/>
      <c r="DU17" s="251" t="s">
        <v>33</v>
      </c>
      <c r="DV17" s="242" t="s">
        <v>35</v>
      </c>
      <c r="DW17" s="242" t="s">
        <v>36</v>
      </c>
      <c r="DX17" s="242" t="s">
        <v>61</v>
      </c>
      <c r="DY17" s="242"/>
      <c r="DZ17" s="249"/>
      <c r="EA17" s="236"/>
      <c r="EB17" s="251" t="s">
        <v>33</v>
      </c>
      <c r="EC17" s="242" t="s">
        <v>35</v>
      </c>
      <c r="ED17" s="242" t="s">
        <v>36</v>
      </c>
      <c r="EE17" s="242" t="s">
        <v>61</v>
      </c>
      <c r="EF17" s="242"/>
      <c r="EG17" s="252"/>
      <c r="EH17" s="236"/>
      <c r="EI17" s="251" t="s">
        <v>33</v>
      </c>
      <c r="EJ17" s="242" t="s">
        <v>35</v>
      </c>
      <c r="EK17" s="242" t="s">
        <v>36</v>
      </c>
      <c r="EL17" s="242" t="s">
        <v>61</v>
      </c>
      <c r="EM17" s="242"/>
      <c r="EN17" s="252"/>
      <c r="EO17" s="236"/>
      <c r="EP17" s="251" t="s">
        <v>33</v>
      </c>
      <c r="EQ17" s="242" t="s">
        <v>35</v>
      </c>
      <c r="ER17" s="242" t="s">
        <v>36</v>
      </c>
      <c r="ES17" s="242" t="s">
        <v>61</v>
      </c>
      <c r="ET17" s="242"/>
      <c r="EU17" s="242"/>
      <c r="EV17" s="236"/>
      <c r="EW17" s="251" t="s">
        <v>33</v>
      </c>
      <c r="EX17" s="242" t="s">
        <v>35</v>
      </c>
      <c r="EY17" s="242" t="s">
        <v>36</v>
      </c>
      <c r="EZ17" s="242" t="s">
        <v>61</v>
      </c>
      <c r="FA17" s="242"/>
      <c r="FB17" s="242"/>
      <c r="FC17" s="236"/>
      <c r="FD17" s="251" t="s">
        <v>33</v>
      </c>
      <c r="FE17" s="242" t="s">
        <v>35</v>
      </c>
      <c r="FF17" s="242" t="s">
        <v>36</v>
      </c>
      <c r="FG17" s="242" t="s">
        <v>61</v>
      </c>
      <c r="FH17" s="242"/>
      <c r="FI17" s="252"/>
      <c r="FJ17" s="236"/>
      <c r="FK17" s="236"/>
      <c r="FL17" s="236"/>
      <c r="FM17" s="236"/>
    </row>
    <row r="18" spans="1:169" ht="27.95" customHeight="1" thickTop="1" x14ac:dyDescent="0.2">
      <c r="A18" s="542">
        <v>1</v>
      </c>
      <c r="B18" s="543" t="s">
        <v>13</v>
      </c>
      <c r="C18" s="544">
        <v>3</v>
      </c>
      <c r="D18" s="545" t="str">
        <f>D16</f>
        <v>Sa</v>
      </c>
      <c r="E18" s="546">
        <f>E17+0.021</f>
        <v>4.2000000000000003E-2</v>
      </c>
      <c r="F18" s="547">
        <f>F16</f>
        <v>0</v>
      </c>
      <c r="G18" s="817" t="str">
        <f t="shared" si="0"/>
        <v>BAUDET Léandre</v>
      </c>
      <c r="H18" s="818"/>
      <c r="I18" s="818"/>
      <c r="J18" s="818"/>
      <c r="K18" s="818"/>
      <c r="L18" s="548" t="s">
        <v>9</v>
      </c>
      <c r="M18" s="818" t="str">
        <f t="shared" si="1"/>
        <v>DIALLO Medhi</v>
      </c>
      <c r="N18" s="818"/>
      <c r="O18" s="818"/>
      <c r="P18" s="818"/>
      <c r="Q18" s="823"/>
      <c r="R18" s="556"/>
      <c r="S18" s="551"/>
      <c r="T18" s="551"/>
      <c r="U18" s="551"/>
      <c r="V18" s="552"/>
      <c r="W18" s="538"/>
      <c r="X18" s="557" t="str">
        <f>IF(AND(COUNTIF(($R18:$V18),"&gt;0")&gt;=2),1,IF(AND(COUNTIF(($R18:$V18),"&lt;0")&gt;=2),0,blanc))</f>
        <v xml:space="preserve"> </v>
      </c>
      <c r="Y18" s="558"/>
      <c r="Z18" s="554" t="str">
        <f>IF(AND(X18=0),1,IF(AND(X18=1),0,blanc))</f>
        <v xml:space="preserve"> </v>
      </c>
      <c r="AA18" s="555"/>
      <c r="AC18" s="253" t="s">
        <v>37</v>
      </c>
      <c r="AD18" s="254" t="str">
        <f>AI7</f>
        <v>IG1</v>
      </c>
      <c r="AE18" s="255"/>
      <c r="AF18" s="256" t="s">
        <v>64</v>
      </c>
      <c r="AG18" s="257"/>
      <c r="AH18" s="256" t="s">
        <v>65</v>
      </c>
      <c r="AI18" s="257"/>
      <c r="AJ18" s="256" t="s">
        <v>66</v>
      </c>
      <c r="AK18" s="257"/>
      <c r="AL18" s="256" t="s">
        <v>67</v>
      </c>
      <c r="AM18" s="258"/>
      <c r="AN18" s="256" t="s">
        <v>68</v>
      </c>
      <c r="AO18" s="259"/>
      <c r="AP18" s="260" t="s">
        <v>38</v>
      </c>
      <c r="AQ18" s="261"/>
      <c r="AR18" s="261"/>
      <c r="AS18" s="261"/>
      <c r="AT18" s="262"/>
      <c r="AU18" s="263"/>
      <c r="AV18" s="264"/>
      <c r="AW18" s="264"/>
      <c r="AX18" s="264"/>
      <c r="AY18" s="265" t="s">
        <v>38</v>
      </c>
      <c r="AZ18" s="255"/>
      <c r="BA18" s="255"/>
      <c r="BB18" s="255"/>
      <c r="BC18" s="266" t="s">
        <v>69</v>
      </c>
      <c r="BD18" s="255"/>
      <c r="BE18" s="255"/>
      <c r="BF18" s="255"/>
      <c r="BG18" s="255"/>
      <c r="BH18" s="255"/>
      <c r="BI18" s="255"/>
      <c r="BJ18" s="255"/>
      <c r="BK18" s="255"/>
      <c r="BL18" s="266" t="s">
        <v>39</v>
      </c>
      <c r="BM18" s="266" t="s">
        <v>40</v>
      </c>
      <c r="BN18" s="266"/>
      <c r="BO18" s="267"/>
      <c r="BQ18" s="268"/>
      <c r="BR18" s="248"/>
      <c r="BS18" s="237" t="str">
        <f>AE9</f>
        <v>A</v>
      </c>
      <c r="BT18" s="269"/>
      <c r="BU18" s="269"/>
      <c r="BV18" s="237" t="str">
        <f>BH24</f>
        <v>M</v>
      </c>
      <c r="BW18" s="237" t="e">
        <f>BL24</f>
        <v>#VALUE!</v>
      </c>
      <c r="BX18" s="237" t="str">
        <f>BH22</f>
        <v>M</v>
      </c>
      <c r="BY18" s="237" t="e">
        <f>BL22</f>
        <v>#VALUE!</v>
      </c>
      <c r="BZ18" s="237" t="str">
        <f>BH20</f>
        <v>M</v>
      </c>
      <c r="CA18" s="270" t="e">
        <f>BL20</f>
        <v>#VALUE!</v>
      </c>
      <c r="CB18" s="248"/>
      <c r="CC18" s="248"/>
      <c r="CD18" s="271"/>
      <c r="CE18" s="271"/>
      <c r="CF18" s="249" t="e">
        <f t="shared" ref="CF18:CF24" si="2">SUM(CH18:CL18)</f>
        <v>#VALUE!</v>
      </c>
      <c r="CG18" s="242" t="e">
        <f t="shared" ref="CG18:CG24" si="3">SUM(CM18:CQ18)</f>
        <v>#VALUE!</v>
      </c>
      <c r="CH18" s="237" t="e">
        <f>IF(BV18&gt;BW18,1,0)</f>
        <v>#VALUE!</v>
      </c>
      <c r="CI18" s="237" t="e">
        <f>IF(BX18&gt;BY18,1,0)</f>
        <v>#VALUE!</v>
      </c>
      <c r="CJ18" s="237" t="e">
        <f>IF(BZ18&gt;CA18,1,0)</f>
        <v>#VALUE!</v>
      </c>
      <c r="CK18" s="237">
        <f>IF(CB18&gt;CC18,1,0)</f>
        <v>0</v>
      </c>
      <c r="CL18" s="237">
        <f>IF(CD18&gt;CE18,1,0)</f>
        <v>0</v>
      </c>
      <c r="CM18" s="272" t="e">
        <f>IF(BV18&lt;BW18,1,0)</f>
        <v>#VALUE!</v>
      </c>
      <c r="CN18" s="237" t="e">
        <f>IF(BX18&lt;BY18,1,0)</f>
        <v>#VALUE!</v>
      </c>
      <c r="CO18" s="237" t="e">
        <f>IF(BZ18&lt;CA18,1,0)</f>
        <v>#VALUE!</v>
      </c>
      <c r="CP18" s="237">
        <f>IF(CB18&lt;CC18,1,0)</f>
        <v>0</v>
      </c>
      <c r="CQ18" s="237">
        <f>IF(CD18&lt;CE18,1,0)</f>
        <v>0</v>
      </c>
      <c r="CR18" s="237" t="s">
        <v>33</v>
      </c>
      <c r="CS18" s="273" t="s">
        <v>53</v>
      </c>
      <c r="CT18" s="239" t="e">
        <f>IF(CF18=CF19,AY24,"xxx")</f>
        <v>#VALUE!</v>
      </c>
      <c r="CU18" s="239" t="e">
        <f>IF(CF18=CF20,AY22,"xxx")</f>
        <v>#VALUE!</v>
      </c>
      <c r="CV18" s="239" t="e">
        <f>IF(CF18=CF21,AY20,"xxx")</f>
        <v>#VALUE!</v>
      </c>
      <c r="CW18" s="274"/>
      <c r="CX18" s="249" t="e">
        <f>SUM(CS18:CW18)</f>
        <v>#VALUE!</v>
      </c>
      <c r="CY18" s="237" t="s">
        <v>33</v>
      </c>
      <c r="CZ18" s="273" t="s">
        <v>53</v>
      </c>
      <c r="DA18" s="239" t="e">
        <f>IF(CF18=CF19,AZ24,"xxx")</f>
        <v>#VALUE!</v>
      </c>
      <c r="DB18" s="239" t="e">
        <f>IF(CF18=CF20,BA22,"xxx")</f>
        <v>#VALUE!</v>
      </c>
      <c r="DC18" s="239" t="e">
        <f>IF(CF18=CF21,BB20,"xxx")</f>
        <v>#VALUE!</v>
      </c>
      <c r="DD18" s="274"/>
      <c r="DE18" s="249" t="e">
        <f>SUM(CZ18:DD18)</f>
        <v>#VALUE!</v>
      </c>
      <c r="DF18" s="237" t="s">
        <v>33</v>
      </c>
      <c r="DG18" s="273" t="s">
        <v>53</v>
      </c>
      <c r="DH18" s="239" t="e">
        <f>IF(AND(BA9&lt;&gt;0,AY9=AY10),IF(BA9=BA10,AY24,"xxx"),"xxx")</f>
        <v>#VALUE!</v>
      </c>
      <c r="DI18" s="239" t="e">
        <f>IF(AND(BA9&lt;&gt;0,AY9=AY11),IF(BA9=BA11,AY22,"xxx"),"xxx")</f>
        <v>#VALUE!</v>
      </c>
      <c r="DJ18" s="239" t="e">
        <f>IF(AND(BA9&lt;&gt;0,AY9=AY12),IF(BA9=BA12,AY20,"xxx"),"xxx")</f>
        <v>#VALUE!</v>
      </c>
      <c r="DK18" s="274"/>
      <c r="DL18" s="249" t="e">
        <f>SUM(DG18:DK18)</f>
        <v>#VALUE!</v>
      </c>
      <c r="DM18" s="237" t="s">
        <v>33</v>
      </c>
      <c r="DN18" s="273" t="s">
        <v>53</v>
      </c>
      <c r="DO18" s="239" t="e">
        <f>IF(AND(BA9&lt;&gt;0,AY9=AY10),IF(BA9=BA10,AZ24,"xxx"),"xxx")</f>
        <v>#VALUE!</v>
      </c>
      <c r="DP18" s="239" t="e">
        <f>IF(AND(BA9&lt;&gt;0,AY9=AY11),IF(BA9=BA11,BA22,"xxx"),"xxx")</f>
        <v>#VALUE!</v>
      </c>
      <c r="DQ18" s="239" t="e">
        <f>IF(AND(BA9&lt;&gt;0,AY9=AY12),IF(BA9=BA12,BB20,"xxx"),"xxx")</f>
        <v>#VALUE!</v>
      </c>
      <c r="DR18" s="274"/>
      <c r="DS18" s="249" t="e">
        <f>SUM(DN18:DR18)</f>
        <v>#VALUE!</v>
      </c>
      <c r="DT18" s="237" t="s">
        <v>33</v>
      </c>
      <c r="DU18" s="273" t="s">
        <v>53</v>
      </c>
      <c r="DV18" s="239" t="e">
        <f>IF(AND(CF18=CF19,BA9=BA10),BH24,"kkk")</f>
        <v>#VALUE!</v>
      </c>
      <c r="DW18" s="239" t="e">
        <f>IF(AND(CF18=CF20,BA9=BA11),BH22,"kkk")</f>
        <v>#VALUE!</v>
      </c>
      <c r="DX18" s="239" t="e">
        <f>IF(AND(CF18=CF21,BA9=BA12),BH20,"kkk")</f>
        <v>#VALUE!</v>
      </c>
      <c r="DY18" s="274"/>
      <c r="DZ18" s="249" t="e">
        <f>SUM(DU18:DY18)</f>
        <v>#VALUE!</v>
      </c>
      <c r="EA18" s="237" t="s">
        <v>33</v>
      </c>
      <c r="EB18" s="273" t="s">
        <v>53</v>
      </c>
      <c r="EC18" s="239" t="e">
        <f>IF(AND(CF18=CF19,BA9=BA10),BL24,"kkk")</f>
        <v>#VALUE!</v>
      </c>
      <c r="ED18" s="239" t="e">
        <f>IF(AND(CF18=CF20,BA9=BA11),BL22,"kkk")</f>
        <v>#VALUE!</v>
      </c>
      <c r="EE18" s="239" t="e">
        <f>IF(AND(CF18=CF21,BA9=BA12),BL20,"kkk")</f>
        <v>#VALUE!</v>
      </c>
      <c r="EF18" s="274"/>
      <c r="EG18" s="249" t="e">
        <f>SUM(EB18:EF18)</f>
        <v>#VALUE!</v>
      </c>
      <c r="EH18" s="237" t="s">
        <v>33</v>
      </c>
      <c r="EI18" s="273" t="s">
        <v>53</v>
      </c>
      <c r="EJ18" s="239" t="e">
        <f>IF(BD9&lt;&gt;"ùùù",IF(AND(CF18=CF19,BD9=BD10),BH24,"kkk"),"kkk")</f>
        <v>#VALUE!</v>
      </c>
      <c r="EK18" s="239" t="e">
        <f>IF(BD9&lt;&gt;"ùùù",IF(AND(CF18=CF20,BD9=BD11),BH22,"kkk"),"kkk")</f>
        <v>#VALUE!</v>
      </c>
      <c r="EL18" s="239" t="e">
        <f>IF(BD9&lt;&gt;"ùùù",IF(AND(CF18=CF21,BD9=BD12),BH20,"kkk"),"kkk")</f>
        <v>#VALUE!</v>
      </c>
      <c r="EM18" s="274"/>
      <c r="EN18" s="249" t="e">
        <f>SUM(EI18:EM18)</f>
        <v>#VALUE!</v>
      </c>
      <c r="EO18" s="237" t="s">
        <v>33</v>
      </c>
      <c r="EP18" s="273" t="s">
        <v>53</v>
      </c>
      <c r="EQ18" s="239" t="e">
        <f>IF(BD9&lt;&gt;"ùùù",IF(AND(CF18=CF19,BD9=BD10),BL24,"kkk"),"kkk")</f>
        <v>#VALUE!</v>
      </c>
      <c r="ER18" s="239" t="e">
        <f>IF(BD9&lt;&gt;"ùùù",IF(AND(CF18=CF20,BD9=BD11),BL22,"kkk"),"kkk")</f>
        <v>#VALUE!</v>
      </c>
      <c r="ES18" s="239" t="e">
        <f>IF(BD9&lt;&gt;"ùùù",IF(AND(CF18=CF21,BD9=BD12),BL20,"kkk"),"kkk")</f>
        <v>#VALUE!</v>
      </c>
      <c r="ET18" s="274"/>
      <c r="EU18" s="249" t="e">
        <f>SUM(EP18:ET18)</f>
        <v>#VALUE!</v>
      </c>
      <c r="EV18" s="237" t="s">
        <v>33</v>
      </c>
      <c r="EW18" s="273" t="s">
        <v>53</v>
      </c>
      <c r="EX18" s="239" t="e">
        <f>IF(AND(CF18=CF19,BC9=BC10),+AF24+AH24+AJ24+AL24+AN24,"xxx")</f>
        <v>#VALUE!</v>
      </c>
      <c r="EY18" s="239" t="e">
        <f>IF(AND(CF18=CF20,BC9=BC11),+AF22+AH22+AJ22+AL22+AN22,"xxx")</f>
        <v>#VALUE!</v>
      </c>
      <c r="EZ18" s="239" t="e">
        <f>IF(AND(CF18=CF21,BC9=BC12),+AF20+AH20+AJ20+AL20+AN20,"xxx")</f>
        <v>#VALUE!</v>
      </c>
      <c r="FA18" s="274"/>
      <c r="FB18" s="249" t="e">
        <f>SUM(EW18:FA18)</f>
        <v>#VALUE!</v>
      </c>
      <c r="FC18" s="237" t="s">
        <v>33</v>
      </c>
      <c r="FD18" s="273" t="s">
        <v>53</v>
      </c>
      <c r="FE18" s="239" t="e">
        <f>IF(AND(CF18=CF19,BC9=BC10),+AG24+AI24+AK24+AM24+AO24,"xxx")</f>
        <v>#VALUE!</v>
      </c>
      <c r="FF18" s="239" t="e">
        <f>IF(AND(CF18=CF20,BC9=BC11),+AG22+AI22+AK22+AM22+AO22,"xxx")</f>
        <v>#VALUE!</v>
      </c>
      <c r="FG18" s="239" t="e">
        <f>IF(AND(CF18=CF21,BC9=BC12),+AG20+AI20+AK20+AM20+AO20,"xxx")</f>
        <v>#VALUE!</v>
      </c>
      <c r="FH18" s="274"/>
      <c r="FI18" s="249" t="e">
        <f>SUM(FD18:FH18)</f>
        <v>#VALUE!</v>
      </c>
      <c r="FJ18" s="264"/>
      <c r="FK18" s="264"/>
      <c r="FL18" s="264"/>
      <c r="FM18" s="264"/>
    </row>
    <row r="19" spans="1:169" ht="27.95" customHeight="1" x14ac:dyDescent="0.2">
      <c r="A19" s="542">
        <v>2</v>
      </c>
      <c r="B19" s="543" t="s">
        <v>13</v>
      </c>
      <c r="C19" s="544">
        <v>4</v>
      </c>
      <c r="D19" s="545"/>
      <c r="E19" s="546">
        <f>E18+0.021</f>
        <v>6.3E-2</v>
      </c>
      <c r="F19" s="547">
        <f>F16</f>
        <v>0</v>
      </c>
      <c r="G19" s="817" t="str">
        <f t="shared" si="0"/>
        <v>RENAUD Simon</v>
      </c>
      <c r="H19" s="818"/>
      <c r="I19" s="818"/>
      <c r="J19" s="818"/>
      <c r="K19" s="818"/>
      <c r="L19" s="548" t="s">
        <v>9</v>
      </c>
      <c r="M19" s="818" t="str">
        <f t="shared" si="1"/>
        <v>ROYER Mathis</v>
      </c>
      <c r="N19" s="818"/>
      <c r="O19" s="818"/>
      <c r="P19" s="818"/>
      <c r="Q19" s="823"/>
      <c r="R19" s="556"/>
      <c r="S19" s="551"/>
      <c r="T19" s="551"/>
      <c r="U19" s="551"/>
      <c r="V19" s="552"/>
      <c r="W19" s="538"/>
      <c r="X19" s="553"/>
      <c r="Y19" s="554" t="str">
        <f>IF(AND(COUNTIF(($R19:$V19),"&gt;0")&gt;=2),1,IF(AND(COUNTIF(($R19:$V19),"&lt;0")&gt;=2),0,blanc))</f>
        <v xml:space="preserve"> </v>
      </c>
      <c r="Z19" s="558"/>
      <c r="AA19" s="559" t="str">
        <f>IF(AND(Y19=0),1,IF(AND(Y19=1),0,blanc))</f>
        <v xml:space="preserve"> </v>
      </c>
      <c r="AC19" s="896" t="s">
        <v>47</v>
      </c>
      <c r="AD19" s="897"/>
      <c r="AE19" s="275" t="s">
        <v>48</v>
      </c>
      <c r="AF19" s="276" t="s">
        <v>49</v>
      </c>
      <c r="AG19" s="277" t="s">
        <v>50</v>
      </c>
      <c r="AH19" s="277" t="s">
        <v>49</v>
      </c>
      <c r="AI19" s="277" t="s">
        <v>50</v>
      </c>
      <c r="AJ19" s="277" t="s">
        <v>49</v>
      </c>
      <c r="AK19" s="277" t="s">
        <v>50</v>
      </c>
      <c r="AL19" s="277" t="s">
        <v>49</v>
      </c>
      <c r="AM19" s="277" t="s">
        <v>50</v>
      </c>
      <c r="AN19" s="277" t="s">
        <v>49</v>
      </c>
      <c r="AO19" s="278" t="s">
        <v>50</v>
      </c>
      <c r="AP19" s="279" t="s">
        <v>33</v>
      </c>
      <c r="AQ19" s="239" t="s">
        <v>35</v>
      </c>
      <c r="AR19" s="239" t="s">
        <v>36</v>
      </c>
      <c r="AS19" s="239" t="s">
        <v>61</v>
      </c>
      <c r="AT19" s="280"/>
      <c r="AU19" s="252"/>
      <c r="AV19" s="247"/>
      <c r="AW19" s="247"/>
      <c r="AX19" s="247"/>
      <c r="AY19" s="281" t="s">
        <v>33</v>
      </c>
      <c r="AZ19" s="239" t="s">
        <v>35</v>
      </c>
      <c r="BA19" s="239" t="s">
        <v>36</v>
      </c>
      <c r="BB19" s="239" t="s">
        <v>61</v>
      </c>
      <c r="BC19" s="239">
        <v>1</v>
      </c>
      <c r="BD19" s="239">
        <v>2</v>
      </c>
      <c r="BE19" s="239">
        <v>3</v>
      </c>
      <c r="BF19" s="239">
        <v>4</v>
      </c>
      <c r="BG19" s="239">
        <v>5</v>
      </c>
      <c r="BH19" s="239" t="s">
        <v>40</v>
      </c>
      <c r="BI19" s="239" t="s">
        <v>51</v>
      </c>
      <c r="BJ19" s="239"/>
      <c r="BK19" s="239"/>
      <c r="BL19" s="239" t="s">
        <v>70</v>
      </c>
      <c r="BM19" s="239" t="s">
        <v>40</v>
      </c>
      <c r="BN19" s="239"/>
      <c r="BO19" s="282"/>
      <c r="BQ19" s="268"/>
      <c r="BR19" s="248"/>
      <c r="BS19" s="237" t="str">
        <f>AE10</f>
        <v>B</v>
      </c>
      <c r="BT19" s="237" t="e">
        <f>BW18</f>
        <v>#VALUE!</v>
      </c>
      <c r="BU19" s="237" t="str">
        <f>BV18</f>
        <v>M</v>
      </c>
      <c r="BV19" s="269"/>
      <c r="BW19" s="269"/>
      <c r="BX19" s="237" t="str">
        <f>BH21</f>
        <v>M</v>
      </c>
      <c r="BY19" s="237" t="e">
        <f>BL21</f>
        <v>#VALUE!</v>
      </c>
      <c r="BZ19" s="237" t="str">
        <f>BH23</f>
        <v>M</v>
      </c>
      <c r="CA19" s="270" t="e">
        <f>BL23</f>
        <v>#VALUE!</v>
      </c>
      <c r="CB19" s="248"/>
      <c r="CC19" s="248"/>
      <c r="CD19" s="271"/>
      <c r="CE19" s="271"/>
      <c r="CF19" s="249" t="e">
        <f t="shared" si="2"/>
        <v>#VALUE!</v>
      </c>
      <c r="CG19" s="242" t="e">
        <f t="shared" si="3"/>
        <v>#VALUE!</v>
      </c>
      <c r="CH19" s="237" t="e">
        <f>IF(BT19&gt;BU19,1,0)</f>
        <v>#VALUE!</v>
      </c>
      <c r="CI19" s="237" t="e">
        <f>IF(BX19&gt;BY19,1,0)</f>
        <v>#VALUE!</v>
      </c>
      <c r="CJ19" s="237" t="e">
        <f>IF(BZ19&gt;CA19,1,0)</f>
        <v>#VALUE!</v>
      </c>
      <c r="CK19" s="237">
        <f>IF(CB19&gt;CC19,1,0)</f>
        <v>0</v>
      </c>
      <c r="CL19" s="237">
        <f>IF(CD19&gt;CE19,1,0)</f>
        <v>0</v>
      </c>
      <c r="CM19" s="272" t="e">
        <f>IF(BT19&lt;BU19,1,0)</f>
        <v>#VALUE!</v>
      </c>
      <c r="CN19" s="237" t="e">
        <f>IF(BX19&lt;BY19,1,0)</f>
        <v>#VALUE!</v>
      </c>
      <c r="CO19" s="237" t="e">
        <f>IF(BZ19&lt;CA19,1,0)</f>
        <v>#VALUE!</v>
      </c>
      <c r="CP19" s="237">
        <f>IF(CB19&lt;CC19,1,0)</f>
        <v>0</v>
      </c>
      <c r="CQ19" s="237">
        <f>IF(CD19&lt;CE19,1,0)</f>
        <v>0</v>
      </c>
      <c r="CR19" s="237" t="s">
        <v>35</v>
      </c>
      <c r="CS19" s="239" t="e">
        <f>IF(CF19=CF18,AZ24,"xxx")</f>
        <v>#VALUE!</v>
      </c>
      <c r="CT19" s="273" t="s">
        <v>53</v>
      </c>
      <c r="CU19" s="239" t="e">
        <f>IF(CF19=CF20,AZ21,"xxx")</f>
        <v>#VALUE!</v>
      </c>
      <c r="CV19" s="239" t="e">
        <f>IF(CF19=CF21,AZ23,"xxx")</f>
        <v>#VALUE!</v>
      </c>
      <c r="CW19" s="274"/>
      <c r="CX19" s="249" t="e">
        <f>SUM(CS19:CW19)</f>
        <v>#VALUE!</v>
      </c>
      <c r="CY19" s="237" t="s">
        <v>35</v>
      </c>
      <c r="CZ19" s="239" t="e">
        <f>IF(CF19=CF18,AY24,"xxx")</f>
        <v>#VALUE!</v>
      </c>
      <c r="DA19" s="273" t="s">
        <v>53</v>
      </c>
      <c r="DB19" s="239" t="e">
        <f>IF(CF19=CF20,BA21,"xxx")</f>
        <v>#VALUE!</v>
      </c>
      <c r="DC19" s="239" t="e">
        <f>IF(CF19=CF21,BB23,"xxx")</f>
        <v>#VALUE!</v>
      </c>
      <c r="DD19" s="274"/>
      <c r="DE19" s="249" t="e">
        <f>SUM(CZ19:DD19)</f>
        <v>#VALUE!</v>
      </c>
      <c r="DF19" s="237" t="s">
        <v>35</v>
      </c>
      <c r="DG19" s="239" t="e">
        <f>IF(AND(BA10&lt;&gt;0,AY10=AY9),IF(BA10=BA9,AZ24,"xxx"),"xxx")</f>
        <v>#VALUE!</v>
      </c>
      <c r="DH19" s="273" t="s">
        <v>53</v>
      </c>
      <c r="DI19" s="239" t="e">
        <f>IF(AND(BA10&lt;&gt;0,AY10=AY11),IF(BA10=BA11,AZ21,"xxx"),"xxx")</f>
        <v>#VALUE!</v>
      </c>
      <c r="DJ19" s="239" t="e">
        <f>IF(AND(BA10&lt;&gt;0,AY10=AY12),IF(BA10=BA12,AZ23,"xxx"),"xxx")</f>
        <v>#VALUE!</v>
      </c>
      <c r="DK19" s="274"/>
      <c r="DL19" s="249" t="e">
        <f>SUM(DG19:DK19)</f>
        <v>#VALUE!</v>
      </c>
      <c r="DM19" s="237" t="s">
        <v>35</v>
      </c>
      <c r="DN19" s="239" t="e">
        <f>IF(AND(BA10&lt;&gt;0,AY10=AY9),IF(BA10=BA9,AY24,"xxx"),"xxx")</f>
        <v>#VALUE!</v>
      </c>
      <c r="DO19" s="273" t="s">
        <v>53</v>
      </c>
      <c r="DP19" s="239" t="e">
        <f>IF(AND(BA10&lt;&gt;0,AY10=AY11),IF(BA10=BA11,BA21,"xxx"),"xxx")</f>
        <v>#VALUE!</v>
      </c>
      <c r="DQ19" s="239" t="e">
        <f>IF(AND(BA10&lt;&gt;0,AY10=AY12),IF(BA10=BA12,BB23,"xxx"),"xxx")</f>
        <v>#VALUE!</v>
      </c>
      <c r="DR19" s="274"/>
      <c r="DS19" s="249" t="e">
        <f>SUM(DN19:DR19)</f>
        <v>#VALUE!</v>
      </c>
      <c r="DT19" s="237" t="s">
        <v>35</v>
      </c>
      <c r="DU19" s="239" t="e">
        <f>IF(AND(CF19=CF18,BA10=BA9),BL24,"kkk")</f>
        <v>#VALUE!</v>
      </c>
      <c r="DV19" s="273" t="s">
        <v>53</v>
      </c>
      <c r="DW19" s="239" t="e">
        <f>IF(AND(CF19=CF20,BA10=BA11),BH21,"kkk")</f>
        <v>#VALUE!</v>
      </c>
      <c r="DX19" s="239" t="e">
        <f>IF(AND(CF19=CF21,BA10=BA12),BH23,"kkk")</f>
        <v>#VALUE!</v>
      </c>
      <c r="DY19" s="274"/>
      <c r="DZ19" s="249" t="e">
        <f>SUM(DU19:DY19)</f>
        <v>#VALUE!</v>
      </c>
      <c r="EA19" s="237" t="s">
        <v>35</v>
      </c>
      <c r="EB19" s="239" t="e">
        <f>IF(AND(CF19=CF18,BA10=BA9),BH24,"kkk")</f>
        <v>#VALUE!</v>
      </c>
      <c r="EC19" s="273" t="s">
        <v>53</v>
      </c>
      <c r="ED19" s="239" t="e">
        <f>IF(AND(CF19=CF20,BA10=BA11),BL21,"kkk")</f>
        <v>#VALUE!</v>
      </c>
      <c r="EE19" s="239" t="e">
        <f>IF(AND(CF19=CF21,BA10=BA12),BL23,"kkk")</f>
        <v>#VALUE!</v>
      </c>
      <c r="EF19" s="274"/>
      <c r="EG19" s="249" t="e">
        <f>SUM(EB19:EF19)</f>
        <v>#VALUE!</v>
      </c>
      <c r="EH19" s="237" t="s">
        <v>35</v>
      </c>
      <c r="EI19" s="239" t="e">
        <f>IF(BD10&lt;&gt;"ùùù",IF(AND(CF19=CF18,BD10=BD9),BL24,"kkk"),"kkk")</f>
        <v>#VALUE!</v>
      </c>
      <c r="EJ19" s="273" t="s">
        <v>53</v>
      </c>
      <c r="EK19" s="239" t="e">
        <f>IF(BD10&lt;&gt;"ùùù",IF(AND(CF19=CF20,BD10=BD11),BH21,"kkk"),"kkk")</f>
        <v>#VALUE!</v>
      </c>
      <c r="EL19" s="239" t="e">
        <f>IF(BD10&lt;&gt;"ùùù",IF(AND(CF19=CF21,BD10=BD12),BH23,"kkk"),"kkk")</f>
        <v>#VALUE!</v>
      </c>
      <c r="EM19" s="274"/>
      <c r="EN19" s="249" t="e">
        <f>SUM(EI19:EM19)</f>
        <v>#VALUE!</v>
      </c>
      <c r="EO19" s="237" t="s">
        <v>35</v>
      </c>
      <c r="EP19" s="239" t="e">
        <f>IF(BD10&lt;&gt;"ùùù",IF(AND(CF19=CF18,BD10=BD9),BH24,"kkk"),"kkk")</f>
        <v>#VALUE!</v>
      </c>
      <c r="EQ19" s="273" t="s">
        <v>53</v>
      </c>
      <c r="ER19" s="239" t="e">
        <f>IF(BD10&lt;&gt;"ùùù",IF(AND(CF19=CF20,BD10=BD11),BL21,"kkk"),"kkk")</f>
        <v>#VALUE!</v>
      </c>
      <c r="ES19" s="239" t="e">
        <f>IF(BD10&lt;&gt;"ùùù",IF(AND(CF19=CF21,BD10=BD12),BL23,"kkk"),"kkk")</f>
        <v>#VALUE!</v>
      </c>
      <c r="ET19" s="274"/>
      <c r="EU19" s="249" t="e">
        <f>SUM(EP19:ET19)</f>
        <v>#VALUE!</v>
      </c>
      <c r="EV19" s="237" t="s">
        <v>35</v>
      </c>
      <c r="EW19" s="239" t="e">
        <f>IF(AND(CF19=CF18,BC10=BC9),+AG24+AI24+AK24+AM24+AO24,"xxx")</f>
        <v>#VALUE!</v>
      </c>
      <c r="EX19" s="273" t="s">
        <v>53</v>
      </c>
      <c r="EY19" s="239" t="e">
        <f>IF(AND(CF19=CF20,BC10=BC11),+AF21+AH21+AJ21+AL21+AN21,"xxx")</f>
        <v>#VALUE!</v>
      </c>
      <c r="EZ19" s="239" t="e">
        <f>IF(AND(CF19=CF21,BC10=BC12),+AF23+AH23+AJ23+AL23+AN23,"xxx")</f>
        <v>#VALUE!</v>
      </c>
      <c r="FA19" s="274"/>
      <c r="FB19" s="249" t="e">
        <f>SUM(EW19:FA19)</f>
        <v>#VALUE!</v>
      </c>
      <c r="FC19" s="237" t="s">
        <v>35</v>
      </c>
      <c r="FD19" s="239" t="e">
        <f>IF(AND(CF19=CF18,BC10=BC9),+AF24+AH24+AJ24+AL24+AN24,"xxx")</f>
        <v>#VALUE!</v>
      </c>
      <c r="FE19" s="273" t="s">
        <v>53</v>
      </c>
      <c r="FF19" s="239" t="e">
        <f>IF(AND(CF19=CF20,BC10=BC11),+AG21+AI21+AK21+AM21+AO21,"xxx")</f>
        <v>#VALUE!</v>
      </c>
      <c r="FG19" s="239" t="e">
        <f>IF(AND(CF19=CF21,BC10=BC12),+AG23+AI23+AK23+AM23+AO23,"xxx")</f>
        <v>#VALUE!</v>
      </c>
      <c r="FH19" s="274"/>
      <c r="FI19" s="249" t="e">
        <f>SUM(FD19:FH19)</f>
        <v>#VALUE!</v>
      </c>
      <c r="FJ19" s="247"/>
      <c r="FK19" s="247"/>
      <c r="FL19" s="247"/>
      <c r="FM19" s="247"/>
    </row>
    <row r="20" spans="1:169" ht="27.95" customHeight="1" x14ac:dyDescent="0.2">
      <c r="A20" s="542">
        <v>1</v>
      </c>
      <c r="B20" s="543" t="s">
        <v>13</v>
      </c>
      <c r="C20" s="544">
        <v>2</v>
      </c>
      <c r="D20" s="545" t="str">
        <f>D16</f>
        <v>Sa</v>
      </c>
      <c r="E20" s="546">
        <f>E19+0.021</f>
        <v>8.4000000000000005E-2</v>
      </c>
      <c r="F20" s="547">
        <f>F16</f>
        <v>0</v>
      </c>
      <c r="G20" s="817" t="str">
        <f t="shared" si="0"/>
        <v>BAUDET Léandre</v>
      </c>
      <c r="H20" s="818"/>
      <c r="I20" s="818"/>
      <c r="J20" s="818"/>
      <c r="K20" s="818"/>
      <c r="L20" s="548" t="s">
        <v>9</v>
      </c>
      <c r="M20" s="818" t="str">
        <f t="shared" si="1"/>
        <v>RENAUD Simon</v>
      </c>
      <c r="N20" s="818"/>
      <c r="O20" s="818"/>
      <c r="P20" s="818"/>
      <c r="Q20" s="823"/>
      <c r="R20" s="556"/>
      <c r="S20" s="551"/>
      <c r="T20" s="551"/>
      <c r="U20" s="551"/>
      <c r="V20" s="552"/>
      <c r="W20" s="538"/>
      <c r="X20" s="557" t="str">
        <f>IF(AND(COUNTIF(($R20:$V20),"&gt;0")&gt;=2),1,IF(AND(COUNTIF(($R20:$V20),"&lt;0")&gt;=2),0,blanc))</f>
        <v xml:space="preserve"> </v>
      </c>
      <c r="Y20" s="554" t="str">
        <f>IF(AND(X20=0),1,IF(AND(X20=1),0,blanc))</f>
        <v xml:space="preserve"> </v>
      </c>
      <c r="Z20" s="558"/>
      <c r="AA20" s="555"/>
      <c r="AC20" s="283">
        <f>IF(AF9&lt;&gt;" ",AF9," ")</f>
        <v>1</v>
      </c>
      <c r="AD20" s="284">
        <f>IF(AF12&lt;&gt;" ",AF12," ")</f>
        <v>4</v>
      </c>
      <c r="AE20" s="285" t="str">
        <f t="shared" ref="AE20:AE25" si="4">IF(AK20&lt;&gt;0,IF(BI20&lt;0,AD20,AC20),IF(BI20=2,AC20,IF(BI20=-2,AD20," ")))</f>
        <v xml:space="preserve"> </v>
      </c>
      <c r="AF20" s="286">
        <f t="shared" ref="AF20:AF25" si="5">IF(R16=0,0,IF(R16&lt;0,-R16,IF(R16&lt;10,11,R16+2)))</f>
        <v>0</v>
      </c>
      <c r="AG20" s="287">
        <f t="shared" ref="AG20:AG25" si="6">IF(R16=0,0,IF(R16&gt;0,R16,IF(R16&gt;-10,11,-R16+2)))</f>
        <v>0</v>
      </c>
      <c r="AH20" s="284">
        <f t="shared" ref="AH20:AH25" si="7">IF(S16=0,0,IF(S16&lt;0,-S16,IF(S16&lt;10,11,S16+2)))</f>
        <v>0</v>
      </c>
      <c r="AI20" s="287">
        <f t="shared" ref="AI20:AI25" si="8">IF(S16=0,0,IF(S16&gt;0,S16,IF(S16&gt;-10,11,-S16+2)))</f>
        <v>0</v>
      </c>
      <c r="AJ20" s="288">
        <f t="shared" ref="AJ20:AJ25" si="9">IF(T16=0,0,IF(T16&lt;0,-T16,IF(T16&lt;10,11,T16+2)))</f>
        <v>0</v>
      </c>
      <c r="AK20" s="287">
        <f t="shared" ref="AK20:AK25" si="10">IF(T16=0,0,IF(T16&gt;0,T16,IF(T16&gt;-10,11,-T16+2)))</f>
        <v>0</v>
      </c>
      <c r="AL20" s="288">
        <f t="shared" ref="AL20:AL25" si="11">IF(U16=0,0,IF(U16&lt;0,-U16,IF(U16&lt;10,11,U16+2)))</f>
        <v>0</v>
      </c>
      <c r="AM20" s="287">
        <f t="shared" ref="AM20:AM25" si="12">IF(U16=0,0,IF(U16&gt;0,U16,IF(U16&gt;-10,11,-U16+2)))</f>
        <v>0</v>
      </c>
      <c r="AN20" s="288">
        <f t="shared" ref="AN20:AN25" si="13">IF(V16=0,0,IF(V16&lt;0,-V16,IF(V16&lt;10,11,V16+2)))</f>
        <v>0</v>
      </c>
      <c r="AO20" s="289">
        <f t="shared" ref="AO20:AO25" si="14">IF(V16=0,0,IF(V16&gt;0,V16,IF(V16&gt;-10,11,-V16+2)))</f>
        <v>0</v>
      </c>
      <c r="AP20" s="290">
        <f>IF(BI20&gt;0,1,0)</f>
        <v>0</v>
      </c>
      <c r="AR20" s="291"/>
      <c r="AS20" s="290">
        <f>IF(BI20&lt;0,1,0)</f>
        <v>0</v>
      </c>
      <c r="AT20" s="292"/>
      <c r="AU20" s="252"/>
      <c r="AV20" s="236"/>
      <c r="AW20" s="236"/>
      <c r="AX20" s="236"/>
      <c r="AY20" s="293">
        <f>IF(BI20&gt;0,1,0)</f>
        <v>0</v>
      </c>
      <c r="BA20" s="294"/>
      <c r="BB20" s="295">
        <f>IF(BI20&lt;0,1,0)</f>
        <v>0</v>
      </c>
      <c r="BC20" s="296">
        <f t="shared" ref="BC20:BC25" si="15">IF(AF20&lt;&gt;0,IF(AF20&gt;AG20,1,-1),0)</f>
        <v>0</v>
      </c>
      <c r="BD20" s="296">
        <f t="shared" ref="BD20:BD25" si="16">IF(AH20&lt;&gt;0,IF(AH20&gt;AI20,1,-1),0)</f>
        <v>0</v>
      </c>
      <c r="BE20" s="296">
        <f t="shared" ref="BE20:BE25" si="17">IF(AJ20&lt;&gt;0,IF(AJ20&gt;AK20,1,-1),0)</f>
        <v>0</v>
      </c>
      <c r="BF20" s="296">
        <f t="shared" ref="BF20:BF25" si="18">IF(AL20&lt;&gt;0,IF(AL20&gt;AM20,1,-1),0)</f>
        <v>0</v>
      </c>
      <c r="BG20" s="296">
        <f t="shared" ref="BG20:BG25" si="19">IF(AN20&lt;&gt;0,IF(AN20&gt;AO20,1,-1),0)</f>
        <v>0</v>
      </c>
      <c r="BH20" s="296" t="str">
        <f t="shared" ref="BH20:BH25" si="20">IF(BM20=0,"M",IF(BI20&gt;0,3,IF(BI20=0,"N",3+BI20)))</f>
        <v>M</v>
      </c>
      <c r="BI20" s="296">
        <f t="shared" ref="BI20:BI25" si="21">SUM(BC20:BG20)</f>
        <v>0</v>
      </c>
      <c r="BJ20" s="296"/>
      <c r="BK20" s="296"/>
      <c r="BL20" s="296" t="e">
        <f t="shared" ref="BL20:BL25" si="22">BM20-BH20</f>
        <v>#VALUE!</v>
      </c>
      <c r="BM20" s="296">
        <f t="shared" ref="BM20:BM25" si="23">ABS(BC20)+ABS(BD20)+ABS(BE20)+ABS(BF20)+ABS(BG20)</f>
        <v>0</v>
      </c>
      <c r="BN20" s="296"/>
      <c r="BO20" s="297"/>
      <c r="BQ20" s="268"/>
      <c r="BR20" s="248"/>
      <c r="BS20" s="237" t="str">
        <f>AE11</f>
        <v>C</v>
      </c>
      <c r="BT20" s="237" t="e">
        <f>BY18</f>
        <v>#VALUE!</v>
      </c>
      <c r="BU20" s="237" t="str">
        <f>BX18</f>
        <v>M</v>
      </c>
      <c r="BV20" s="237" t="e">
        <f>BY19</f>
        <v>#VALUE!</v>
      </c>
      <c r="BW20" s="237" t="str">
        <f>BX19</f>
        <v>M</v>
      </c>
      <c r="BX20" s="269"/>
      <c r="BY20" s="269"/>
      <c r="BZ20" s="237" t="str">
        <f>BH25</f>
        <v>M</v>
      </c>
      <c r="CA20" s="270" t="e">
        <f>BL25</f>
        <v>#VALUE!</v>
      </c>
      <c r="CB20" s="248"/>
      <c r="CC20" s="248"/>
      <c r="CD20" s="271"/>
      <c r="CE20" s="271"/>
      <c r="CF20" s="249" t="e">
        <f t="shared" si="2"/>
        <v>#VALUE!</v>
      </c>
      <c r="CG20" s="242" t="e">
        <f t="shared" si="3"/>
        <v>#VALUE!</v>
      </c>
      <c r="CH20" s="237" t="e">
        <f>IF(BT20&gt;BU20,1,0)</f>
        <v>#VALUE!</v>
      </c>
      <c r="CI20" s="237" t="e">
        <f>IF(BV20&gt;BW20,1,0)</f>
        <v>#VALUE!</v>
      </c>
      <c r="CJ20" s="237" t="e">
        <f>IF(BZ20&gt;CA20,1,0)</f>
        <v>#VALUE!</v>
      </c>
      <c r="CK20" s="237">
        <f>IF(CB20&gt;CC20,1,0)</f>
        <v>0</v>
      </c>
      <c r="CL20" s="237">
        <f>IF(CD20&gt;CE20,1,0)</f>
        <v>0</v>
      </c>
      <c r="CM20" s="272" t="e">
        <f>IF(BT20&lt;BU20,1,0)</f>
        <v>#VALUE!</v>
      </c>
      <c r="CN20" s="237" t="e">
        <f>IF(BV20&lt;BW20,1,0)</f>
        <v>#VALUE!</v>
      </c>
      <c r="CO20" s="237" t="e">
        <f>IF(BZ20&lt;CA20,1,0)</f>
        <v>#VALUE!</v>
      </c>
      <c r="CP20" s="237">
        <f>IF(CB20&lt;CC20,1,0)</f>
        <v>0</v>
      </c>
      <c r="CQ20" s="237">
        <f>IF(CD20&lt;CE20,1,0)</f>
        <v>0</v>
      </c>
      <c r="CR20" s="237" t="s">
        <v>36</v>
      </c>
      <c r="CS20" s="239" t="e">
        <f>IF(CF20=CF18,BA22,"xxx")</f>
        <v>#VALUE!</v>
      </c>
      <c r="CT20" s="239" t="e">
        <f>IF(CF20=CF19,BA21,"xxx")</f>
        <v>#VALUE!</v>
      </c>
      <c r="CU20" s="273" t="s">
        <v>53</v>
      </c>
      <c r="CV20" s="239" t="e">
        <f>IF(CF20=CF21,BA25,"xxx")</f>
        <v>#VALUE!</v>
      </c>
      <c r="CW20" s="274"/>
      <c r="CX20" s="249" t="e">
        <f>SUM(CS20:CW20)</f>
        <v>#VALUE!</v>
      </c>
      <c r="CY20" s="237" t="s">
        <v>36</v>
      </c>
      <c r="CZ20" s="239" t="e">
        <f>IF(CF20=CF18,AY22,"xxx")</f>
        <v>#VALUE!</v>
      </c>
      <c r="DA20" s="239" t="e">
        <f>IF(CF20=CF19,AZ21,"xxx")</f>
        <v>#VALUE!</v>
      </c>
      <c r="DB20" s="273" t="s">
        <v>53</v>
      </c>
      <c r="DC20" s="239" t="e">
        <f>IF(CF20=CF21,BB25,"xxx")</f>
        <v>#VALUE!</v>
      </c>
      <c r="DD20" s="274"/>
      <c r="DE20" s="249" t="e">
        <f>SUM(CZ20:DD20)</f>
        <v>#VALUE!</v>
      </c>
      <c r="DF20" s="237" t="s">
        <v>36</v>
      </c>
      <c r="DG20" s="239" t="e">
        <f>IF(AND(BA11&lt;&gt;0,AY11=AY9),IF(BA11=BA9,BA22,"xxx"),"xxx")</f>
        <v>#VALUE!</v>
      </c>
      <c r="DH20" s="239" t="e">
        <f>IF(AND(BA11&lt;&gt;0,AY11=AY10),IF(BA11=BA10,BA21,"xxx"),"xxx")</f>
        <v>#VALUE!</v>
      </c>
      <c r="DI20" s="273" t="s">
        <v>53</v>
      </c>
      <c r="DJ20" s="239" t="e">
        <f>IF(AND(BA11&lt;&gt;0,AY11=AY12),IF(BA11=BA12,BA25,"xxx"),"xxx")</f>
        <v>#VALUE!</v>
      </c>
      <c r="DK20" s="274"/>
      <c r="DL20" s="249" t="e">
        <f>SUM(DG20:DK20)</f>
        <v>#VALUE!</v>
      </c>
      <c r="DM20" s="237" t="s">
        <v>36</v>
      </c>
      <c r="DN20" s="239" t="e">
        <f>IF(AND(BA11&lt;&gt;0,AY11=AY9),IF(BA11=BA9,AY22,"xxx"),"xxx")</f>
        <v>#VALUE!</v>
      </c>
      <c r="DO20" s="239" t="e">
        <f>IF(AND(BA11&lt;&gt;0,AY11=AY10),IF(BA11=BA10,AZ21,"xxx"),"xxx")</f>
        <v>#VALUE!</v>
      </c>
      <c r="DP20" s="273" t="s">
        <v>53</v>
      </c>
      <c r="DQ20" s="239" t="e">
        <f>IF(AND(BA11&lt;&gt;0,AY11=AY12),IF(BA11=BA12,BB25,"xxx"),"xxx")</f>
        <v>#VALUE!</v>
      </c>
      <c r="DR20" s="274"/>
      <c r="DS20" s="249" t="e">
        <f>SUM(DN20:DR20)</f>
        <v>#VALUE!</v>
      </c>
      <c r="DT20" s="237" t="s">
        <v>36</v>
      </c>
      <c r="DU20" s="239" t="e">
        <f>IF(AND(CF20=CF18,BA11=BA9),BL22,"kkk")</f>
        <v>#VALUE!</v>
      </c>
      <c r="DV20" s="239" t="e">
        <f>IF(AND(CF20=CF19,BA11=BA10),BL21,"kkk")</f>
        <v>#VALUE!</v>
      </c>
      <c r="DW20" s="273" t="s">
        <v>53</v>
      </c>
      <c r="DX20" s="239" t="e">
        <f>IF(AND(CF20=CF21,BA11=BA12),BH25,"kkk")</f>
        <v>#VALUE!</v>
      </c>
      <c r="DY20" s="274"/>
      <c r="DZ20" s="249" t="e">
        <f>SUM(DU20:DY20)</f>
        <v>#VALUE!</v>
      </c>
      <c r="EA20" s="237" t="s">
        <v>36</v>
      </c>
      <c r="EB20" s="239" t="e">
        <f>IF(AND(CF20=CF18,BA11=BA9),BH22,"kkk")</f>
        <v>#VALUE!</v>
      </c>
      <c r="EC20" s="239" t="e">
        <f>IF(AND(CF20=CF19,BA11=BA10),BH21,"kkk")</f>
        <v>#VALUE!</v>
      </c>
      <c r="ED20" s="273" t="s">
        <v>53</v>
      </c>
      <c r="EE20" s="239" t="e">
        <f>IF(AND(CF20=CF21,BA11=BA12),BL25,"kkk")</f>
        <v>#VALUE!</v>
      </c>
      <c r="EF20" s="274"/>
      <c r="EG20" s="249" t="e">
        <f>SUM(EB20:EF20)</f>
        <v>#VALUE!</v>
      </c>
      <c r="EH20" s="237" t="s">
        <v>36</v>
      </c>
      <c r="EI20" s="239" t="e">
        <f>IF(BD11&lt;&gt;"ùùù",IF(AND(CF20=CF18,BD11=BD9),BL22,"kkk"),"kkk")</f>
        <v>#VALUE!</v>
      </c>
      <c r="EJ20" s="239" t="e">
        <f>IF(BD11&lt;&gt;"ùùù",IF(AND(CF20=CF19,BD11=BD10),BL21,"kkk"),"kkk")</f>
        <v>#VALUE!</v>
      </c>
      <c r="EK20" s="273" t="s">
        <v>53</v>
      </c>
      <c r="EL20" s="239" t="e">
        <f>IF(BD11&lt;&gt;"ùùù",IF(AND(CF20=CF21,BD11=BD12),BH25,"kkk"),"kkk")</f>
        <v>#VALUE!</v>
      </c>
      <c r="EM20" s="274"/>
      <c r="EN20" s="249" t="e">
        <f>SUM(EI20:EM20)</f>
        <v>#VALUE!</v>
      </c>
      <c r="EO20" s="237" t="s">
        <v>36</v>
      </c>
      <c r="EP20" s="239" t="e">
        <f>IF(BD11&lt;&gt;"ùùù",IF(AND(CF20=CF18,BD11=BD9),BH22,"kkk"),"kkk")</f>
        <v>#VALUE!</v>
      </c>
      <c r="EQ20" s="239" t="e">
        <f>IF(BD11&lt;&gt;"ùùù",IF(AND(CF20=CF19,BD11=BD10),BH21,"kkk"),"kkk")</f>
        <v>#VALUE!</v>
      </c>
      <c r="ER20" s="273" t="s">
        <v>53</v>
      </c>
      <c r="ES20" s="239" t="e">
        <f>IF(BD11&lt;&gt;"ùùù",IF(AND(CF20=CF21,BD11=BD12),BL25,"kkk"),"kkk")</f>
        <v>#VALUE!</v>
      </c>
      <c r="ET20" s="274"/>
      <c r="EU20" s="249" t="e">
        <f>SUM(EP20:ET20)</f>
        <v>#VALUE!</v>
      </c>
      <c r="EV20" s="237" t="s">
        <v>36</v>
      </c>
      <c r="EW20" s="239" t="e">
        <f>IF(AND(CF20=CF18,BC11=BC9),+AG22+AI22+AK22+AM22+AO22,"xxx")</f>
        <v>#VALUE!</v>
      </c>
      <c r="EX20" s="239" t="e">
        <f>IF(AND(CF20=CF19,BC11=BC10),+AG21+AI21+AK21+AM21+AO21,"xxx")</f>
        <v>#VALUE!</v>
      </c>
      <c r="EY20" s="273" t="s">
        <v>53</v>
      </c>
      <c r="EZ20" s="239" t="e">
        <f>IF(AND(CF20=CF21,BC11=BC12),+AF25+AH25+AJ25+AL25+AN25,"xxx")</f>
        <v>#VALUE!</v>
      </c>
      <c r="FA20" s="274"/>
      <c r="FB20" s="249" t="e">
        <f>SUM(EW20:FA20)</f>
        <v>#VALUE!</v>
      </c>
      <c r="FC20" s="237" t="s">
        <v>36</v>
      </c>
      <c r="FD20" s="239" t="e">
        <f>IF(AND(CF20=CF18,BC11=BC9),+AF22+AH22+AJ22+AL22+AN22,"xxx")</f>
        <v>#VALUE!</v>
      </c>
      <c r="FE20" s="239" t="e">
        <f>IF(AND(CF20=CF19,BC11=BC10),+AF21+AH21+AJ21+AL21+AN21,"xxx")</f>
        <v>#VALUE!</v>
      </c>
      <c r="FF20" s="273" t="s">
        <v>53</v>
      </c>
      <c r="FG20" s="239" t="e">
        <f>IF(AND(CF20=CF21,BC11=BC12),+AG25+AI25+AK25+AM25+AO25,"xxx")</f>
        <v>#VALUE!</v>
      </c>
      <c r="FH20" s="274"/>
      <c r="FI20" s="249" t="e">
        <f>SUM(FD20:FH20)</f>
        <v>#VALUE!</v>
      </c>
      <c r="FJ20" s="236"/>
      <c r="FK20" s="236"/>
      <c r="FL20" s="236"/>
      <c r="FM20" s="236"/>
    </row>
    <row r="21" spans="1:169" ht="27.95" customHeight="1" thickBot="1" x14ac:dyDescent="0.25">
      <c r="A21" s="525">
        <v>3</v>
      </c>
      <c r="B21" s="560" t="s">
        <v>13</v>
      </c>
      <c r="C21" s="561">
        <v>4</v>
      </c>
      <c r="D21" s="562"/>
      <c r="E21" s="563">
        <f>E20+0.0205</f>
        <v>0.10450000000000001</v>
      </c>
      <c r="F21" s="564">
        <f>F16</f>
        <v>0</v>
      </c>
      <c r="G21" s="819" t="str">
        <f t="shared" si="0"/>
        <v>DIALLO Medhi</v>
      </c>
      <c r="H21" s="820"/>
      <c r="I21" s="820"/>
      <c r="J21" s="820"/>
      <c r="K21" s="820"/>
      <c r="L21" s="517" t="s">
        <v>9</v>
      </c>
      <c r="M21" s="820" t="str">
        <f t="shared" si="1"/>
        <v>ROYER Mathis</v>
      </c>
      <c r="N21" s="820"/>
      <c r="O21" s="820"/>
      <c r="P21" s="820"/>
      <c r="Q21" s="824"/>
      <c r="R21" s="565"/>
      <c r="S21" s="566"/>
      <c r="T21" s="566"/>
      <c r="U21" s="566"/>
      <c r="V21" s="567"/>
      <c r="W21" s="538"/>
      <c r="X21" s="568"/>
      <c r="Y21" s="569"/>
      <c r="Z21" s="570" t="str">
        <f>IF(AND(COUNTIF(($R21:$V21),"&gt;0")&gt;=2),1,IF(AND(COUNTIF(($R21:$V21),"&lt;0")&gt;=2),0,blanc))</f>
        <v xml:space="preserve"> </v>
      </c>
      <c r="AA21" s="571" t="str">
        <f>IF(AND(Z21=0),1,IF(AND(Z21=1),0,blanc))</f>
        <v xml:space="preserve"> </v>
      </c>
      <c r="AC21" s="298">
        <f>IF(AF10&lt;&gt;" ",AF10," ")</f>
        <v>2</v>
      </c>
      <c r="AD21" s="299">
        <f>IF(AF11&lt;&gt;" ",AF11," ")</f>
        <v>3</v>
      </c>
      <c r="AE21" s="300" t="str">
        <f t="shared" si="4"/>
        <v xml:space="preserve"> </v>
      </c>
      <c r="AF21" s="286">
        <f t="shared" si="5"/>
        <v>0</v>
      </c>
      <c r="AG21" s="287">
        <f t="shared" si="6"/>
        <v>0</v>
      </c>
      <c r="AH21" s="284">
        <f t="shared" si="7"/>
        <v>0</v>
      </c>
      <c r="AI21" s="287">
        <f t="shared" si="8"/>
        <v>0</v>
      </c>
      <c r="AJ21" s="288">
        <f t="shared" si="9"/>
        <v>0</v>
      </c>
      <c r="AK21" s="287">
        <f t="shared" si="10"/>
        <v>0</v>
      </c>
      <c r="AL21" s="288">
        <f t="shared" si="11"/>
        <v>0</v>
      </c>
      <c r="AM21" s="287">
        <f t="shared" si="12"/>
        <v>0</v>
      </c>
      <c r="AN21" s="288">
        <f t="shared" si="13"/>
        <v>0</v>
      </c>
      <c r="AO21" s="289">
        <f t="shared" si="14"/>
        <v>0</v>
      </c>
      <c r="AP21" s="301"/>
      <c r="AQ21" s="302">
        <f>IF(BI21&gt;0,1,0)</f>
        <v>0</v>
      </c>
      <c r="AR21" s="302">
        <f>IF(BI21&lt;0,1,0)</f>
        <v>0</v>
      </c>
      <c r="AT21" s="303"/>
      <c r="AU21" s="252"/>
      <c r="AV21" s="236"/>
      <c r="AW21" s="236"/>
      <c r="AX21" s="236"/>
      <c r="AY21" s="304"/>
      <c r="AZ21" s="305">
        <f>IF(BI21&gt;0,1,0)</f>
        <v>0</v>
      </c>
      <c r="BA21" s="305">
        <f>IF(BI21&lt;0,1,0)</f>
        <v>0</v>
      </c>
      <c r="BB21" s="306"/>
      <c r="BC21" s="239">
        <f t="shared" si="15"/>
        <v>0</v>
      </c>
      <c r="BD21" s="239">
        <f t="shared" si="16"/>
        <v>0</v>
      </c>
      <c r="BE21" s="239">
        <f t="shared" si="17"/>
        <v>0</v>
      </c>
      <c r="BF21" s="239">
        <f t="shared" si="18"/>
        <v>0</v>
      </c>
      <c r="BG21" s="239">
        <f t="shared" si="19"/>
        <v>0</v>
      </c>
      <c r="BH21" s="239" t="str">
        <f t="shared" si="20"/>
        <v>M</v>
      </c>
      <c r="BI21" s="239">
        <f t="shared" si="21"/>
        <v>0</v>
      </c>
      <c r="BJ21" s="239"/>
      <c r="BK21" s="239"/>
      <c r="BL21" s="239" t="e">
        <f t="shared" si="22"/>
        <v>#VALUE!</v>
      </c>
      <c r="BM21" s="239">
        <f t="shared" si="23"/>
        <v>0</v>
      </c>
      <c r="BN21" s="239"/>
      <c r="BO21" s="282"/>
      <c r="BQ21" s="268"/>
      <c r="BR21" s="248"/>
      <c r="BS21" s="237" t="str">
        <f>AE12</f>
        <v>D</v>
      </c>
      <c r="BT21" s="237" t="e">
        <f>CA18</f>
        <v>#VALUE!</v>
      </c>
      <c r="BU21" s="237" t="str">
        <f>BZ18</f>
        <v>M</v>
      </c>
      <c r="BV21" s="237" t="e">
        <f>CA19</f>
        <v>#VALUE!</v>
      </c>
      <c r="BW21" s="237" t="str">
        <f>BZ19</f>
        <v>M</v>
      </c>
      <c r="BX21" s="237" t="e">
        <f>CA20</f>
        <v>#VALUE!</v>
      </c>
      <c r="BY21" s="237" t="str">
        <f>BZ20</f>
        <v>M</v>
      </c>
      <c r="BZ21" s="269"/>
      <c r="CA21" s="307"/>
      <c r="CB21" s="248"/>
      <c r="CC21" s="248"/>
      <c r="CD21" s="271"/>
      <c r="CE21" s="271"/>
      <c r="CF21" s="249" t="e">
        <f t="shared" si="2"/>
        <v>#VALUE!</v>
      </c>
      <c r="CG21" s="242" t="e">
        <f t="shared" si="3"/>
        <v>#VALUE!</v>
      </c>
      <c r="CH21" s="308" t="e">
        <f>IF(BT21&gt;BU21,1,0)</f>
        <v>#VALUE!</v>
      </c>
      <c r="CI21" s="308" t="e">
        <f>IF(BV21&gt;BW21,1,0)</f>
        <v>#VALUE!</v>
      </c>
      <c r="CJ21" s="308" t="e">
        <f>IF(BX21&gt;BY21,1,0)</f>
        <v>#VALUE!</v>
      </c>
      <c r="CK21" s="308">
        <f>IF(CB21&gt;CC21,1,0)</f>
        <v>0</v>
      </c>
      <c r="CL21" s="308">
        <f>IF(CD21&gt;CE21,1,0)</f>
        <v>0</v>
      </c>
      <c r="CM21" s="309" t="e">
        <f>IF(BT21&lt;BU21,1,0)</f>
        <v>#VALUE!</v>
      </c>
      <c r="CN21" s="308" t="e">
        <f>IF(BV21&lt;BW21,1,0)</f>
        <v>#VALUE!</v>
      </c>
      <c r="CO21" s="308" t="e">
        <f>IF(BX21&lt;BY21,1,0)</f>
        <v>#VALUE!</v>
      </c>
      <c r="CP21" s="308">
        <f>IF(CB21&lt;CC21,1,0)</f>
        <v>0</v>
      </c>
      <c r="CQ21" s="308">
        <f>IF(CD21&lt;CE21,1,0)</f>
        <v>0</v>
      </c>
      <c r="CR21" s="308" t="s">
        <v>61</v>
      </c>
      <c r="CS21" s="277" t="e">
        <f>IF(CF21=CF18,BB20,"xxx")</f>
        <v>#VALUE!</v>
      </c>
      <c r="CT21" s="277" t="e">
        <f>IF(CF21=CF19,BB23,"xxx")</f>
        <v>#VALUE!</v>
      </c>
      <c r="CU21" s="277" t="e">
        <f>IF(CF21=CF20,BB25,"xxx")</f>
        <v>#VALUE!</v>
      </c>
      <c r="CV21" s="310" t="s">
        <v>53</v>
      </c>
      <c r="CW21" s="311"/>
      <c r="CX21" s="249" t="e">
        <f>SUM(CS21:CW21)</f>
        <v>#VALUE!</v>
      </c>
      <c r="CY21" s="308" t="s">
        <v>61</v>
      </c>
      <c r="CZ21" s="277" t="e">
        <f>IF(CF21=CF18,AY20,"xxx")</f>
        <v>#VALUE!</v>
      </c>
      <c r="DA21" s="277" t="e">
        <f>IF(CF21=CF19,AZ23,"xxx")</f>
        <v>#VALUE!</v>
      </c>
      <c r="DB21" s="277" t="e">
        <f>IF(CF21=CF20,BA25,"xxx")</f>
        <v>#VALUE!</v>
      </c>
      <c r="DC21" s="310" t="s">
        <v>53</v>
      </c>
      <c r="DD21" s="311"/>
      <c r="DE21" s="312" t="e">
        <f>SUM(CZ21:DD21)</f>
        <v>#VALUE!</v>
      </c>
      <c r="DF21" s="308" t="s">
        <v>61</v>
      </c>
      <c r="DG21" s="277" t="e">
        <f>IF(AND(BA12&lt;&gt;0,AY12=AY9),IF(BA12=BA9,BB20,"xxx"),"xxx")</f>
        <v>#VALUE!</v>
      </c>
      <c r="DH21" s="277" t="e">
        <f>IF(AND(BA12&lt;&gt;0,AY12=AY10),IF(BA12=BA10,BB23,"xxx"),"xxx")</f>
        <v>#VALUE!</v>
      </c>
      <c r="DI21" s="277" t="e">
        <f>IF(AND(BA12&lt;&gt;0,AY12=AY11),IF(BA12=BA11,BB25,"xxx"),"xxx")</f>
        <v>#VALUE!</v>
      </c>
      <c r="DJ21" s="310" t="s">
        <v>53</v>
      </c>
      <c r="DK21" s="311"/>
      <c r="DL21" s="249" t="e">
        <f>SUM(DG21:DK21)</f>
        <v>#VALUE!</v>
      </c>
      <c r="DM21" s="308" t="s">
        <v>61</v>
      </c>
      <c r="DN21" s="277" t="e">
        <f>IF(AND(BA12&lt;&gt;0,AY12=AY9),IF(BA12=BA9,AY20,"xxx"),"xxx")</f>
        <v>#VALUE!</v>
      </c>
      <c r="DO21" s="277" t="e">
        <f>IF(AND(BA12&lt;&gt;0,AY12=AY10),IF(BA12=BA10,AZ23,"xxx"),"xxx")</f>
        <v>#VALUE!</v>
      </c>
      <c r="DP21" s="277" t="e">
        <f>IF(AND(BA12&lt;&gt;0,AY12=AY11),IF(BA12=BA11,BA25,"xxx"),"xxx")</f>
        <v>#VALUE!</v>
      </c>
      <c r="DQ21" s="310" t="s">
        <v>53</v>
      </c>
      <c r="DR21" s="311"/>
      <c r="DS21" s="249" t="e">
        <f>SUM(DN21:DR21)</f>
        <v>#VALUE!</v>
      </c>
      <c r="DT21" s="308" t="s">
        <v>61</v>
      </c>
      <c r="DU21" s="277" t="e">
        <f>IF(AND(CF21=CF18,BA12=BA9),BL20,"kkk")</f>
        <v>#VALUE!</v>
      </c>
      <c r="DV21" s="277" t="e">
        <f>IF(AND(CF21=CF19,BA12=BA10),BL23,"kkk")</f>
        <v>#VALUE!</v>
      </c>
      <c r="DW21" s="277" t="e">
        <f>IF(AND(CF21=CF20,BA12=BA11),BL25,"kkk")</f>
        <v>#VALUE!</v>
      </c>
      <c r="DX21" s="310" t="s">
        <v>53</v>
      </c>
      <c r="DY21" s="311"/>
      <c r="DZ21" s="249" t="e">
        <f>SUM(DU21:DY21)</f>
        <v>#VALUE!</v>
      </c>
      <c r="EA21" s="308" t="s">
        <v>61</v>
      </c>
      <c r="EB21" s="277" t="e">
        <f>IF(AND(CF21=CF18,BA12=BA9),BH20,"kkk")</f>
        <v>#VALUE!</v>
      </c>
      <c r="EC21" s="277" t="e">
        <f>IF(AND(CF21=CF19,BA12=BA10),BH23,"kkk")</f>
        <v>#VALUE!</v>
      </c>
      <c r="ED21" s="277" t="e">
        <f>IF(AND(CF21=CF20,BA12=BA11),BH25,"kkk")</f>
        <v>#VALUE!</v>
      </c>
      <c r="EE21" s="310" t="s">
        <v>53</v>
      </c>
      <c r="EF21" s="311"/>
      <c r="EG21" s="249" t="e">
        <f>SUM(EB21:EF21)</f>
        <v>#VALUE!</v>
      </c>
      <c r="EH21" s="308" t="s">
        <v>61</v>
      </c>
      <c r="EI21" s="277" t="e">
        <f>IF(BD12&lt;&gt;"ùùù",IF(AND(CF21=CF18,BD12=BD9),BL20,"kkk"),"kkk")</f>
        <v>#VALUE!</v>
      </c>
      <c r="EJ21" s="277" t="e">
        <f>IF(BD12&lt;&gt;"ùùù",IF(AND(CF21=CF19,BD12=BD10),BL23,"kkk"),"kkk")</f>
        <v>#VALUE!</v>
      </c>
      <c r="EK21" s="277" t="e">
        <f>IF(BD12&lt;&gt;"ùùù",IF(AND(CF21=CF20,BD12=BD11),BL25,"kkk"),"kkk")</f>
        <v>#VALUE!</v>
      </c>
      <c r="EL21" s="310" t="s">
        <v>53</v>
      </c>
      <c r="EM21" s="311"/>
      <c r="EN21" s="249" t="e">
        <f>SUM(EI21:EM21)</f>
        <v>#VALUE!</v>
      </c>
      <c r="EO21" s="308" t="s">
        <v>61</v>
      </c>
      <c r="EP21" s="277" t="e">
        <f>IF(BD12&lt;&gt;"ùùù",IF(AND(CF21=CF18,BD12=BD9),BH20,"kkk"),"kkk")</f>
        <v>#VALUE!</v>
      </c>
      <c r="EQ21" s="277" t="e">
        <f>IF(BD12&lt;&gt;"ùùù",IF(AND(CF21=CF19,BD12=BD10),BH23,"kkk"),"kkk")</f>
        <v>#VALUE!</v>
      </c>
      <c r="ER21" s="277" t="e">
        <f>IF(BD12&lt;&gt;"ùùù",IF(AND(CF21=CF20,BD12=BD11),BH25,"kkk"),"kkk")</f>
        <v>#VALUE!</v>
      </c>
      <c r="ES21" s="310" t="s">
        <v>53</v>
      </c>
      <c r="ET21" s="311"/>
      <c r="EU21" s="249" t="e">
        <f>SUM(EP21:ET21)</f>
        <v>#VALUE!</v>
      </c>
      <c r="EV21" s="308" t="s">
        <v>61</v>
      </c>
      <c r="EW21" s="277" t="e">
        <f>IF(AND(CF21=CF18,BC12=BC9),+AG20+AI20+AK20+AM20+AO20,"xxx")</f>
        <v>#VALUE!</v>
      </c>
      <c r="EX21" s="277" t="e">
        <f>IF(AND(CF21=CF19,BC12=BC10),+AG23+AI23+AK23+AM23+AO23,"xxx")</f>
        <v>#VALUE!</v>
      </c>
      <c r="EY21" s="277" t="e">
        <f>IF(AND(CF21=CF20,BC11=BC12),+AG25+AI25+AK25+AM25+AO25,"xxx")</f>
        <v>#VALUE!</v>
      </c>
      <c r="EZ21" s="310" t="s">
        <v>53</v>
      </c>
      <c r="FA21" s="311"/>
      <c r="FB21" s="249" t="e">
        <f>SUM(EW21:FA21)</f>
        <v>#VALUE!</v>
      </c>
      <c r="FC21" s="308" t="s">
        <v>61</v>
      </c>
      <c r="FD21" s="277" t="e">
        <f>IF(AND(CF21=CF18,BC12=BC9),+AF20+AH20+AJ20+AL20+AN20,"xxx")</f>
        <v>#VALUE!</v>
      </c>
      <c r="FE21" s="277" t="e">
        <f>IF(AND(CF21=CF19,BC12=BC10),+AF23+AH23+AJ23+AL23+AN23,"xxx")</f>
        <v>#VALUE!</v>
      </c>
      <c r="FF21" s="277" t="e">
        <f>IF(AND(CF21=CF20,BC12=BC11),+AF25+AH25+AJ25+AL25+AN25,"xxx")</f>
        <v>#VALUE!</v>
      </c>
      <c r="FG21" s="310" t="s">
        <v>53</v>
      </c>
      <c r="FH21" s="311"/>
      <c r="FI21" s="249" t="e">
        <f>SUM(FD21:FH21)</f>
        <v>#VALUE!</v>
      </c>
      <c r="FJ21" s="236"/>
      <c r="FK21" s="236"/>
      <c r="FL21" s="236"/>
      <c r="FM21" s="236"/>
    </row>
    <row r="22" spans="1:169" ht="21.95" customHeight="1" x14ac:dyDescent="0.2">
      <c r="A22" s="503"/>
      <c r="B22" s="503"/>
      <c r="C22" s="502"/>
      <c r="D22" s="502"/>
      <c r="E22" s="502"/>
      <c r="F22" s="502"/>
      <c r="G22" s="503"/>
      <c r="H22" s="506"/>
      <c r="I22" s="506"/>
      <c r="J22" s="506"/>
      <c r="K22" s="506"/>
      <c r="L22" s="572">
        <v>6</v>
      </c>
      <c r="M22" s="511"/>
      <c r="N22" s="572" t="s">
        <v>3</v>
      </c>
      <c r="O22" s="874" t="s">
        <v>17</v>
      </c>
      <c r="P22" s="875"/>
      <c r="Q22" s="875"/>
      <c r="R22" s="875"/>
      <c r="S22" s="875"/>
      <c r="T22" s="875"/>
      <c r="U22" s="875"/>
      <c r="V22" s="876"/>
      <c r="W22" s="573"/>
      <c r="X22" s="574" t="str">
        <f>IF($R$16="","",SUM(X16:X21))</f>
        <v/>
      </c>
      <c r="Y22" s="575" t="str">
        <f>IF($R$16="","",SUM(Y16:Y21))</f>
        <v/>
      </c>
      <c r="Z22" s="575" t="str">
        <f>IF($R$16="","",SUM(Z16:Z21))</f>
        <v/>
      </c>
      <c r="AA22" s="576" t="str">
        <f>IF($R$16="","",SUM(AA16:AA21))</f>
        <v/>
      </c>
      <c r="AB22" s="601">
        <f>SUM(X22:AA22)</f>
        <v>0</v>
      </c>
      <c r="AC22" s="298">
        <f>IF(AF9&lt;&gt;" ",AF9," ")</f>
        <v>1</v>
      </c>
      <c r="AD22" s="299">
        <f>IF(AF11&lt;&gt;" ",AF11," ")</f>
        <v>3</v>
      </c>
      <c r="AE22" s="300" t="str">
        <f t="shared" si="4"/>
        <v xml:space="preserve"> </v>
      </c>
      <c r="AF22" s="286">
        <f t="shared" si="5"/>
        <v>0</v>
      </c>
      <c r="AG22" s="287">
        <f t="shared" si="6"/>
        <v>0</v>
      </c>
      <c r="AH22" s="284">
        <f t="shared" si="7"/>
        <v>0</v>
      </c>
      <c r="AI22" s="287">
        <f t="shared" si="8"/>
        <v>0</v>
      </c>
      <c r="AJ22" s="288">
        <f t="shared" si="9"/>
        <v>0</v>
      </c>
      <c r="AK22" s="287">
        <f t="shared" si="10"/>
        <v>0</v>
      </c>
      <c r="AL22" s="288">
        <f t="shared" si="11"/>
        <v>0</v>
      </c>
      <c r="AM22" s="287">
        <f t="shared" si="12"/>
        <v>0</v>
      </c>
      <c r="AN22" s="288">
        <f t="shared" si="13"/>
        <v>0</v>
      </c>
      <c r="AO22" s="289">
        <f t="shared" si="14"/>
        <v>0</v>
      </c>
      <c r="AP22" s="313">
        <f>IF(BI22&gt;0,1,0)</f>
        <v>0</v>
      </c>
      <c r="AQ22" s="314"/>
      <c r="AR22" s="315">
        <f>IF(BI22&lt;0,1,0)</f>
        <v>0</v>
      </c>
      <c r="AS22" s="316"/>
      <c r="AT22" s="292"/>
      <c r="AU22" s="252"/>
      <c r="AV22" s="236"/>
      <c r="AW22" s="236"/>
      <c r="AX22" s="236"/>
      <c r="AY22" s="317">
        <f>IF(BI22&gt;0,1,0)</f>
        <v>0</v>
      </c>
      <c r="AZ22" s="318"/>
      <c r="BA22" s="305">
        <f>IF(BI22&lt;0,1,0)</f>
        <v>0</v>
      </c>
      <c r="BB22" s="319"/>
      <c r="BC22" s="239">
        <f t="shared" si="15"/>
        <v>0</v>
      </c>
      <c r="BD22" s="239">
        <f t="shared" si="16"/>
        <v>0</v>
      </c>
      <c r="BE22" s="239">
        <f t="shared" si="17"/>
        <v>0</v>
      </c>
      <c r="BF22" s="239">
        <f t="shared" si="18"/>
        <v>0</v>
      </c>
      <c r="BG22" s="239">
        <f t="shared" si="19"/>
        <v>0</v>
      </c>
      <c r="BH22" s="239" t="str">
        <f t="shared" si="20"/>
        <v>M</v>
      </c>
      <c r="BI22" s="239">
        <f t="shared" si="21"/>
        <v>0</v>
      </c>
      <c r="BJ22" s="239"/>
      <c r="BK22" s="239"/>
      <c r="BL22" s="239" t="e">
        <f t="shared" si="22"/>
        <v>#VALUE!</v>
      </c>
      <c r="BM22" s="239">
        <f t="shared" si="23"/>
        <v>0</v>
      </c>
      <c r="BN22" s="239"/>
      <c r="BO22" s="282"/>
      <c r="BQ22" s="268"/>
      <c r="BR22" s="248"/>
      <c r="BS22" s="308">
        <f>AE13</f>
        <v>0</v>
      </c>
      <c r="BT22" s="308">
        <f>CC18</f>
        <v>0</v>
      </c>
      <c r="BU22" s="308">
        <f>CB18</f>
        <v>0</v>
      </c>
      <c r="BV22" s="308">
        <f>CC19</f>
        <v>0</v>
      </c>
      <c r="BW22" s="308">
        <f>CB19</f>
        <v>0</v>
      </c>
      <c r="BX22" s="308">
        <f>CC20</f>
        <v>0</v>
      </c>
      <c r="BY22" s="308">
        <f>CB20</f>
        <v>0</v>
      </c>
      <c r="BZ22" s="308">
        <f>CC21</f>
        <v>0</v>
      </c>
      <c r="CA22" s="320">
        <f>CB21</f>
        <v>0</v>
      </c>
      <c r="CB22" s="271"/>
      <c r="CC22" s="271"/>
      <c r="CD22" s="271"/>
      <c r="CE22" s="271"/>
      <c r="CF22" s="249">
        <f t="shared" si="2"/>
        <v>0</v>
      </c>
      <c r="CG22" s="242">
        <f t="shared" si="3"/>
        <v>0</v>
      </c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52"/>
      <c r="CT22" s="252"/>
      <c r="CU22" s="252"/>
      <c r="CV22" s="252"/>
      <c r="CW22" s="252"/>
      <c r="CX22" s="252"/>
      <c r="CY22" s="271"/>
      <c r="CZ22" s="252"/>
      <c r="DA22" s="252"/>
      <c r="DB22" s="252"/>
      <c r="DC22" s="252"/>
      <c r="DD22" s="252"/>
      <c r="DE22" s="252"/>
      <c r="DF22" s="271"/>
      <c r="DG22" s="252"/>
      <c r="DH22" s="252"/>
      <c r="DI22" s="252"/>
      <c r="DJ22" s="252"/>
      <c r="DK22" s="252"/>
      <c r="DL22" s="252"/>
      <c r="DM22" s="271"/>
      <c r="DN22" s="252"/>
      <c r="DO22" s="252"/>
      <c r="DP22" s="252"/>
      <c r="DQ22" s="252"/>
      <c r="DR22" s="252"/>
      <c r="DS22" s="252"/>
      <c r="DT22" s="271"/>
      <c r="DU22" s="252"/>
      <c r="DV22" s="252"/>
      <c r="DW22" s="252"/>
      <c r="DX22" s="252"/>
      <c r="DY22" s="252"/>
      <c r="DZ22" s="252"/>
      <c r="EA22" s="271"/>
      <c r="EB22" s="252"/>
      <c r="EC22" s="252"/>
      <c r="ED22" s="252"/>
      <c r="EE22" s="252"/>
      <c r="EF22" s="252"/>
      <c r="EG22" s="252"/>
      <c r="EH22" s="271"/>
      <c r="EI22" s="252"/>
      <c r="EJ22" s="252"/>
      <c r="EK22" s="252"/>
      <c r="EL22" s="252"/>
      <c r="EM22" s="252"/>
      <c r="EN22" s="252"/>
      <c r="EO22" s="271"/>
      <c r="EP22" s="252"/>
      <c r="EQ22" s="252"/>
      <c r="ER22" s="252"/>
      <c r="ES22" s="252"/>
      <c r="ET22" s="252"/>
      <c r="EU22" s="252"/>
      <c r="EV22" s="271"/>
      <c r="EW22" s="252"/>
      <c r="EX22" s="252"/>
      <c r="EY22" s="252"/>
      <c r="EZ22" s="252"/>
      <c r="FA22" s="252"/>
      <c r="FB22" s="252"/>
      <c r="FC22" s="271"/>
      <c r="FD22" s="252"/>
      <c r="FE22" s="252"/>
      <c r="FF22" s="252"/>
      <c r="FG22" s="252"/>
      <c r="FH22" s="252"/>
      <c r="FI22" s="252"/>
      <c r="FJ22" s="236"/>
      <c r="FK22" s="236"/>
      <c r="FL22" s="236"/>
      <c r="FM22" s="236"/>
    </row>
    <row r="23" spans="1:169" ht="21.95" customHeight="1" thickBot="1" x14ac:dyDescent="0.25">
      <c r="A23" s="503"/>
      <c r="B23" s="577" t="s">
        <v>4</v>
      </c>
      <c r="C23" s="503"/>
      <c r="D23" s="503"/>
      <c r="E23" s="503"/>
      <c r="F23" s="503"/>
      <c r="G23" s="503"/>
      <c r="H23" s="506"/>
      <c r="I23" s="506"/>
      <c r="J23" s="506"/>
      <c r="K23" s="578" t="s">
        <v>3</v>
      </c>
      <c r="L23" s="579"/>
      <c r="M23" s="580" t="str">
        <f>IF(AB23=AB22,K23,IF(AB23&gt;AB22,""))</f>
        <v/>
      </c>
      <c r="N23" s="506"/>
      <c r="O23" s="833" t="s">
        <v>18</v>
      </c>
      <c r="P23" s="834"/>
      <c r="Q23" s="834"/>
      <c r="R23" s="834"/>
      <c r="S23" s="834"/>
      <c r="T23" s="834"/>
      <c r="U23" s="834"/>
      <c r="V23" s="835"/>
      <c r="W23" s="573"/>
      <c r="X23" s="581" t="str">
        <f>IF(M23="OK",BK9,"")</f>
        <v/>
      </c>
      <c r="Y23" s="582" t="str">
        <f>IF(M23="OK",BK10,"")</f>
        <v/>
      </c>
      <c r="Z23" s="582" t="str">
        <f>IF(M23="OK",BK11,"")</f>
        <v/>
      </c>
      <c r="AA23" s="583" t="str">
        <f>IF(M23="OK",BK12,"")</f>
        <v/>
      </c>
      <c r="AB23" s="601">
        <v>6</v>
      </c>
      <c r="AC23" s="283">
        <f>IF(AF10&lt;&gt;" ",AF10," ")</f>
        <v>2</v>
      </c>
      <c r="AD23" s="284">
        <f>IF(AF12&lt;&gt;" ",AF12," ")</f>
        <v>4</v>
      </c>
      <c r="AE23" s="300" t="str">
        <f t="shared" si="4"/>
        <v xml:space="preserve"> </v>
      </c>
      <c r="AF23" s="286">
        <f t="shared" si="5"/>
        <v>0</v>
      </c>
      <c r="AG23" s="287">
        <f t="shared" si="6"/>
        <v>0</v>
      </c>
      <c r="AH23" s="284">
        <f t="shared" si="7"/>
        <v>0</v>
      </c>
      <c r="AI23" s="287">
        <f t="shared" si="8"/>
        <v>0</v>
      </c>
      <c r="AJ23" s="288">
        <f t="shared" si="9"/>
        <v>0</v>
      </c>
      <c r="AK23" s="287">
        <f t="shared" si="10"/>
        <v>0</v>
      </c>
      <c r="AL23" s="288">
        <f t="shared" si="11"/>
        <v>0</v>
      </c>
      <c r="AM23" s="287">
        <f t="shared" si="12"/>
        <v>0</v>
      </c>
      <c r="AN23" s="288">
        <f t="shared" si="13"/>
        <v>0</v>
      </c>
      <c r="AO23" s="289">
        <f t="shared" si="14"/>
        <v>0</v>
      </c>
      <c r="AP23" s="301"/>
      <c r="AQ23" s="302">
        <f>IF(BI23&gt;0,1,0)</f>
        <v>0</v>
      </c>
      <c r="AR23" s="306"/>
      <c r="AS23" s="321">
        <f>IF(BI23&lt;0,1,0)</f>
        <v>0</v>
      </c>
      <c r="AT23" s="303"/>
      <c r="AU23" s="252"/>
      <c r="AV23" s="236"/>
      <c r="AW23" s="236"/>
      <c r="AX23" s="236"/>
      <c r="AY23" s="304"/>
      <c r="AZ23" s="305">
        <f>IF(BI23&gt;0,1,0)</f>
        <v>0</v>
      </c>
      <c r="BB23" s="322">
        <f>IF(BI23&lt;0,1,0)</f>
        <v>0</v>
      </c>
      <c r="BC23" s="239">
        <f t="shared" si="15"/>
        <v>0</v>
      </c>
      <c r="BD23" s="239">
        <f t="shared" si="16"/>
        <v>0</v>
      </c>
      <c r="BE23" s="239">
        <f t="shared" si="17"/>
        <v>0</v>
      </c>
      <c r="BF23" s="239">
        <f t="shared" si="18"/>
        <v>0</v>
      </c>
      <c r="BG23" s="239">
        <f t="shared" si="19"/>
        <v>0</v>
      </c>
      <c r="BH23" s="239" t="str">
        <f t="shared" si="20"/>
        <v>M</v>
      </c>
      <c r="BI23" s="239">
        <f t="shared" si="21"/>
        <v>0</v>
      </c>
      <c r="BJ23" s="239"/>
      <c r="BK23" s="239"/>
      <c r="BL23" s="239" t="e">
        <f t="shared" si="22"/>
        <v>#VALUE!</v>
      </c>
      <c r="BM23" s="239">
        <f t="shared" si="23"/>
        <v>0</v>
      </c>
      <c r="BN23" s="239"/>
      <c r="BO23" s="282"/>
      <c r="BQ23" s="26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71"/>
      <c r="CE23" s="271"/>
      <c r="CF23" s="249">
        <f t="shared" si="2"/>
        <v>0</v>
      </c>
      <c r="CG23" s="242">
        <f t="shared" si="3"/>
        <v>0</v>
      </c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52"/>
      <c r="CT23" s="252"/>
      <c r="CU23" s="252"/>
      <c r="CV23" s="252"/>
      <c r="CW23" s="252"/>
      <c r="CX23" s="252"/>
      <c r="CY23" s="249"/>
      <c r="CZ23" s="271"/>
      <c r="DA23" s="252"/>
      <c r="DB23" s="252"/>
      <c r="DC23" s="252"/>
      <c r="DD23" s="252"/>
      <c r="DE23" s="252"/>
      <c r="DF23" s="271"/>
      <c r="DG23" s="252"/>
      <c r="DH23" s="252"/>
      <c r="DI23" s="252"/>
      <c r="DJ23" s="252"/>
      <c r="DK23" s="252"/>
      <c r="DL23" s="252"/>
      <c r="DM23" s="271"/>
      <c r="DN23" s="252"/>
      <c r="DO23" s="252"/>
      <c r="DP23" s="252"/>
      <c r="DQ23" s="252"/>
      <c r="DR23" s="252"/>
      <c r="DS23" s="252"/>
      <c r="DT23" s="248"/>
      <c r="DU23" s="249"/>
      <c r="DV23" s="236"/>
      <c r="DW23" s="248"/>
      <c r="DX23" s="249"/>
      <c r="DY23" s="249"/>
      <c r="DZ23" s="248"/>
      <c r="EA23" s="248"/>
      <c r="EB23" s="249" t="e">
        <f>IF(EG18&gt;0,DZ18/EG18,"???")</f>
        <v>#VALUE!</v>
      </c>
      <c r="EC23" s="249" t="e">
        <f>IF(EG19&gt;0,DZ19/EG19,"???")</f>
        <v>#VALUE!</v>
      </c>
      <c r="ED23" s="249" t="e">
        <f>IF(EG20&gt;0,DZ20/EG20,"???")</f>
        <v>#VALUE!</v>
      </c>
      <c r="EE23" s="249" t="e">
        <f>IF(EG21&gt;0,DZ21/EG21,"???")</f>
        <v>#VALUE!</v>
      </c>
      <c r="EF23" s="249" t="str">
        <f>IF(EG22&gt;0,DZ22/EG22,"???")</f>
        <v>???</v>
      </c>
      <c r="EG23" s="249"/>
      <c r="EH23" s="271"/>
      <c r="EI23" s="252"/>
      <c r="EJ23" s="252"/>
      <c r="EK23" s="252"/>
      <c r="EL23" s="252"/>
      <c r="EM23" s="252"/>
      <c r="EN23" s="249">
        <f>SUM(EI23:EM23)</f>
        <v>0</v>
      </c>
      <c r="EO23" s="271"/>
      <c r="EP23" s="248" t="e">
        <f>IF(EU18&gt;0,EN18/EU18,"???")</f>
        <v>#VALUE!</v>
      </c>
      <c r="EQ23" s="248" t="e">
        <f>IF(EU19&gt;0,EN19/EU19,"???")</f>
        <v>#VALUE!</v>
      </c>
      <c r="ER23" s="248" t="e">
        <f>IF(EU20&gt;0,EN20/EU20,"???")</f>
        <v>#VALUE!</v>
      </c>
      <c r="ES23" s="248" t="e">
        <f>IF(EU21&gt;0,EN21/EU21,"???")</f>
        <v>#VALUE!</v>
      </c>
      <c r="ET23" s="248" t="str">
        <f>IF(EU22&gt;0,EN22/EU22,"???")</f>
        <v>???</v>
      </c>
      <c r="EU23" s="249"/>
      <c r="EV23" s="271"/>
      <c r="EW23" s="252"/>
      <c r="EX23" s="252"/>
      <c r="EY23" s="252"/>
      <c r="EZ23" s="252"/>
      <c r="FA23" s="252"/>
      <c r="FB23" s="323" t="e">
        <f>SUM(FB18:FB22)</f>
        <v>#VALUE!</v>
      </c>
      <c r="FC23" s="271"/>
      <c r="FD23" s="252"/>
      <c r="FF23" s="252"/>
      <c r="FG23" s="252"/>
      <c r="FH23" s="252"/>
      <c r="FI23" s="323" t="e">
        <f>SUM(FI18:FI22)</f>
        <v>#VALUE!</v>
      </c>
      <c r="FJ23" s="236"/>
      <c r="FK23" s="236"/>
      <c r="FL23" s="236"/>
      <c r="FM23" s="236"/>
    </row>
    <row r="24" spans="1:169" ht="27.95" customHeight="1" thickBo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6"/>
      <c r="AC24" s="298">
        <f>IF(AF9&lt;&gt;" ",AF9," ")</f>
        <v>1</v>
      </c>
      <c r="AD24" s="299">
        <f>IF(AF10&lt;&gt;" ",AF10," ")</f>
        <v>2</v>
      </c>
      <c r="AE24" s="300" t="str">
        <f t="shared" si="4"/>
        <v xml:space="preserve"> </v>
      </c>
      <c r="AF24" s="286">
        <f t="shared" si="5"/>
        <v>0</v>
      </c>
      <c r="AG24" s="287">
        <f t="shared" si="6"/>
        <v>0</v>
      </c>
      <c r="AH24" s="284">
        <f t="shared" si="7"/>
        <v>0</v>
      </c>
      <c r="AI24" s="287">
        <f t="shared" si="8"/>
        <v>0</v>
      </c>
      <c r="AJ24" s="288">
        <f t="shared" si="9"/>
        <v>0</v>
      </c>
      <c r="AK24" s="287">
        <f t="shared" si="10"/>
        <v>0</v>
      </c>
      <c r="AL24" s="288">
        <f t="shared" si="11"/>
        <v>0</v>
      </c>
      <c r="AM24" s="287">
        <f t="shared" si="12"/>
        <v>0</v>
      </c>
      <c r="AN24" s="288">
        <f t="shared" si="13"/>
        <v>0</v>
      </c>
      <c r="AO24" s="289">
        <f t="shared" si="14"/>
        <v>0</v>
      </c>
      <c r="AP24" s="313">
        <f>IF(BI24&gt;0,1,0)</f>
        <v>0</v>
      </c>
      <c r="AQ24" s="302">
        <f>IF(BI24&lt;0,1,0)</f>
        <v>0</v>
      </c>
      <c r="AR24" s="324"/>
      <c r="AT24" s="303"/>
      <c r="AU24" s="252"/>
      <c r="AV24" s="236"/>
      <c r="AW24" s="236"/>
      <c r="AX24" s="236"/>
      <c r="AY24" s="317">
        <f>IF(BI24&gt;0,1,0)</f>
        <v>0</v>
      </c>
      <c r="AZ24" s="305">
        <f>IF(BI24&lt;0,1,0)</f>
        <v>0</v>
      </c>
      <c r="BA24" s="318"/>
      <c r="BB24" s="325"/>
      <c r="BC24" s="239">
        <f t="shared" si="15"/>
        <v>0</v>
      </c>
      <c r="BD24" s="239">
        <f t="shared" si="16"/>
        <v>0</v>
      </c>
      <c r="BE24" s="239">
        <f t="shared" si="17"/>
        <v>0</v>
      </c>
      <c r="BF24" s="239">
        <f t="shared" si="18"/>
        <v>0</v>
      </c>
      <c r="BG24" s="239">
        <f t="shared" si="19"/>
        <v>0</v>
      </c>
      <c r="BH24" s="239" t="str">
        <f t="shared" si="20"/>
        <v>M</v>
      </c>
      <c r="BI24" s="239">
        <f t="shared" si="21"/>
        <v>0</v>
      </c>
      <c r="BJ24" s="239"/>
      <c r="BK24" s="239"/>
      <c r="BL24" s="239" t="e">
        <f t="shared" si="22"/>
        <v>#VALUE!</v>
      </c>
      <c r="BM24" s="239">
        <f t="shared" si="23"/>
        <v>0</v>
      </c>
      <c r="BN24" s="239"/>
      <c r="BO24" s="282"/>
      <c r="BQ24" s="26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9">
        <f t="shared" si="2"/>
        <v>0</v>
      </c>
      <c r="CG24" s="242">
        <f t="shared" si="3"/>
        <v>0</v>
      </c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49"/>
      <c r="CZ24" s="271"/>
      <c r="DA24" s="252"/>
      <c r="DB24" s="252"/>
      <c r="DC24" s="252"/>
      <c r="DD24" s="252"/>
      <c r="DE24" s="252"/>
      <c r="DF24" s="252"/>
      <c r="DG24" s="252"/>
      <c r="DH24" s="271"/>
      <c r="DI24" s="252"/>
      <c r="DJ24" s="252"/>
      <c r="DK24" s="252"/>
      <c r="DL24" s="252"/>
      <c r="DM24" s="271"/>
      <c r="DN24" s="252"/>
      <c r="DO24" s="252"/>
      <c r="DP24" s="252"/>
      <c r="DQ24" s="252"/>
      <c r="DR24" s="252"/>
      <c r="DS24" s="252"/>
      <c r="DT24" s="248"/>
      <c r="DU24" s="249"/>
      <c r="DV24" s="249"/>
      <c r="DW24" s="249"/>
      <c r="DX24" s="249"/>
      <c r="DY24" s="249"/>
      <c r="DZ24" s="252"/>
      <c r="EA24" s="248"/>
      <c r="EH24" s="271"/>
      <c r="EI24" s="271"/>
      <c r="EJ24" s="271"/>
      <c r="EK24" s="271"/>
      <c r="EL24" s="271"/>
      <c r="EM24" s="271"/>
      <c r="EN24" s="249">
        <f>SUM(EI24:EM24)</f>
        <v>0</v>
      </c>
      <c r="EO24" s="236"/>
      <c r="EP24" s="236"/>
      <c r="EQ24" s="236"/>
      <c r="ER24" s="236"/>
      <c r="ES24" s="236"/>
      <c r="ET24" s="236"/>
      <c r="EU24" s="236"/>
      <c r="EV24" s="271"/>
      <c r="EW24" s="252"/>
      <c r="EX24" s="252"/>
      <c r="EY24" s="249"/>
      <c r="EZ24" s="252"/>
      <c r="FA24" s="252"/>
      <c r="FB24" s="252"/>
      <c r="FC24" s="271"/>
      <c r="FD24" s="252"/>
      <c r="FE24" s="248"/>
      <c r="FF24" s="252"/>
      <c r="FG24" s="252"/>
      <c r="FH24" s="252"/>
      <c r="FI24" s="252"/>
      <c r="FJ24" s="236"/>
      <c r="FK24" s="236"/>
      <c r="FL24" s="236"/>
      <c r="FM24" s="236"/>
    </row>
    <row r="25" spans="1:169" ht="27.95" customHeight="1" thickBot="1" x14ac:dyDescent="0.25">
      <c r="A25" s="881" t="s">
        <v>289</v>
      </c>
      <c r="B25" s="882"/>
      <c r="C25" s="870" t="str">
        <f>IF($AB22&lt;6,"",IF($X23=1,C9,IF($Y23=1,C10,IF($Z23=1,C11,IF($AA23=1,C12)))))</f>
        <v/>
      </c>
      <c r="D25" s="871"/>
      <c r="E25" s="811" t="str">
        <f>IF(C25="","",VLOOKUP(C25,liste!$A$9:$G$145,2,FALSE))</f>
        <v/>
      </c>
      <c r="F25" s="812"/>
      <c r="G25" s="812"/>
      <c r="H25" s="812"/>
      <c r="I25" s="813"/>
      <c r="J25" s="584" t="str">
        <f>IF(C25="","",VLOOKUP(C25,liste!$A$9:$G$145,4,FALSE))</f>
        <v/>
      </c>
      <c r="K25" s="811" t="str">
        <f>IF(C25="","",VLOOKUP(C25,liste!$A$9:$G$145,3,FALSE))</f>
        <v/>
      </c>
      <c r="L25" s="812"/>
      <c r="M25" s="812"/>
      <c r="N25" s="813"/>
      <c r="O25" s="513"/>
      <c r="P25" s="892" t="s">
        <v>294</v>
      </c>
      <c r="Q25" s="892"/>
      <c r="R25" s="892"/>
      <c r="S25" s="504"/>
      <c r="T25" s="504"/>
      <c r="U25" s="504"/>
      <c r="V25" s="504"/>
      <c r="W25" s="504"/>
      <c r="X25" s="504"/>
      <c r="Y25" s="504"/>
      <c r="Z25" s="504"/>
      <c r="AA25" s="506"/>
      <c r="AC25" s="298">
        <f>IF(AF11&lt;&gt;" ",AF11," ")</f>
        <v>3</v>
      </c>
      <c r="AD25" s="299">
        <f>IF(AF12&lt;&gt;" ",AF12," ")</f>
        <v>4</v>
      </c>
      <c r="AE25" s="300" t="str">
        <f t="shared" si="4"/>
        <v xml:space="preserve"> </v>
      </c>
      <c r="AF25" s="286">
        <f t="shared" si="5"/>
        <v>0</v>
      </c>
      <c r="AG25" s="287">
        <f t="shared" si="6"/>
        <v>0</v>
      </c>
      <c r="AH25" s="284">
        <f t="shared" si="7"/>
        <v>0</v>
      </c>
      <c r="AI25" s="287">
        <f t="shared" si="8"/>
        <v>0</v>
      </c>
      <c r="AJ25" s="288">
        <f t="shared" si="9"/>
        <v>0</v>
      </c>
      <c r="AK25" s="287">
        <f t="shared" si="10"/>
        <v>0</v>
      </c>
      <c r="AL25" s="288">
        <f t="shared" si="11"/>
        <v>0</v>
      </c>
      <c r="AM25" s="287">
        <f t="shared" si="12"/>
        <v>0</v>
      </c>
      <c r="AN25" s="288">
        <f t="shared" si="13"/>
        <v>0</v>
      </c>
      <c r="AO25" s="289">
        <f t="shared" si="14"/>
        <v>0</v>
      </c>
      <c r="AP25" s="301"/>
      <c r="AR25" s="302">
        <f>IF(BI25&gt;0,1,0)</f>
        <v>0</v>
      </c>
      <c r="AS25" s="315">
        <f>IF(BI25&lt;0,1,0)</f>
        <v>0</v>
      </c>
      <c r="AT25" s="292"/>
      <c r="AU25" s="252"/>
      <c r="AV25" s="236"/>
      <c r="AW25" s="236"/>
      <c r="AX25" s="236"/>
      <c r="AY25" s="326"/>
      <c r="AZ25" s="327"/>
      <c r="BA25" s="328">
        <f>IF(BI25&gt;0,1,0)</f>
        <v>0</v>
      </c>
      <c r="BB25" s="328">
        <f>IF(BI25&lt;0,1,0)</f>
        <v>0</v>
      </c>
      <c r="BC25" s="329">
        <f t="shared" si="15"/>
        <v>0</v>
      </c>
      <c r="BD25" s="329">
        <f t="shared" si="16"/>
        <v>0</v>
      </c>
      <c r="BE25" s="329">
        <f t="shared" si="17"/>
        <v>0</v>
      </c>
      <c r="BF25" s="329">
        <f t="shared" si="18"/>
        <v>0</v>
      </c>
      <c r="BG25" s="329">
        <f t="shared" si="19"/>
        <v>0</v>
      </c>
      <c r="BH25" s="329" t="str">
        <f t="shared" si="20"/>
        <v>M</v>
      </c>
      <c r="BI25" s="329">
        <f t="shared" si="21"/>
        <v>0</v>
      </c>
      <c r="BJ25" s="329"/>
      <c r="BK25" s="329"/>
      <c r="BL25" s="329" t="e">
        <f t="shared" si="22"/>
        <v>#VALUE!</v>
      </c>
      <c r="BM25" s="329">
        <f t="shared" si="23"/>
        <v>0</v>
      </c>
      <c r="BN25" s="329"/>
      <c r="BO25" s="330"/>
      <c r="BQ25" s="268"/>
      <c r="BR25" s="248"/>
      <c r="BS25" s="248">
        <f>AE16</f>
        <v>0</v>
      </c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9"/>
      <c r="DB25" s="249"/>
      <c r="DC25" s="249"/>
      <c r="DD25" s="249"/>
      <c r="DE25" s="249"/>
      <c r="DF25" s="249"/>
      <c r="DG25" s="248"/>
      <c r="DH25" s="248"/>
      <c r="DI25" s="249"/>
      <c r="DJ25" s="249"/>
      <c r="DK25" s="249"/>
      <c r="DL25" s="249"/>
      <c r="DM25" s="249"/>
      <c r="DN25" s="249"/>
      <c r="DO25" s="248"/>
      <c r="DP25" s="248"/>
      <c r="DQ25" s="249"/>
      <c r="DR25" s="249"/>
      <c r="DS25" s="249"/>
      <c r="DT25" s="236"/>
      <c r="DU25" s="236"/>
      <c r="DV25" s="236"/>
      <c r="DW25" s="236"/>
      <c r="DX25" s="236"/>
      <c r="DY25" s="236"/>
      <c r="DZ25" s="236"/>
      <c r="EA25" s="248"/>
      <c r="EB25" s="236"/>
      <c r="EC25" s="236"/>
      <c r="ED25" s="236"/>
      <c r="EE25" s="236"/>
      <c r="EF25" s="236"/>
      <c r="EG25" s="252"/>
      <c r="EH25" s="248"/>
      <c r="EI25" s="248"/>
      <c r="EJ25" s="248"/>
      <c r="EK25" s="248"/>
      <c r="EL25" s="248"/>
      <c r="EM25" s="248"/>
      <c r="EN25" s="248"/>
      <c r="EO25" s="236"/>
      <c r="EP25" s="236"/>
      <c r="EQ25" s="236"/>
      <c r="ER25" s="236"/>
      <c r="ES25" s="236"/>
      <c r="ET25" s="236"/>
      <c r="EU25" s="248"/>
      <c r="EV25" s="248"/>
      <c r="EW25" s="248"/>
      <c r="EX25" s="248"/>
      <c r="EY25" s="248"/>
      <c r="EZ25" s="248"/>
      <c r="FA25" s="248"/>
      <c r="FB25" s="248"/>
      <c r="FC25" s="248"/>
      <c r="FD25" s="248"/>
      <c r="FF25" s="248"/>
      <c r="FG25" s="248"/>
      <c r="FH25" s="248"/>
      <c r="FI25" s="248"/>
      <c r="FJ25" s="236"/>
      <c r="FK25" s="236"/>
      <c r="FL25" s="236"/>
      <c r="FM25" s="236"/>
    </row>
    <row r="26" spans="1:169" ht="27.95" customHeight="1" thickTop="1" thickBot="1" x14ac:dyDescent="0.25">
      <c r="A26" s="877" t="s">
        <v>290</v>
      </c>
      <c r="B26" s="878"/>
      <c r="C26" s="868" t="str">
        <f>IF($AB22&lt;6,"",IF($X23=2,C9,IF($Y23=2,C10,IF($Z23=2,C11,IF($AA23=2,C12)))))</f>
        <v/>
      </c>
      <c r="D26" s="869"/>
      <c r="E26" s="804" t="str">
        <f>IF(C26="","",VLOOKUP(C26,liste!$A$9:$G$145,2,FALSE))</f>
        <v/>
      </c>
      <c r="F26" s="805"/>
      <c r="G26" s="805"/>
      <c r="H26" s="805"/>
      <c r="I26" s="806"/>
      <c r="J26" s="585" t="str">
        <f>IF(C26="","",VLOOKUP(C26,liste!$A$9:$G$145,4,FALSE))</f>
        <v/>
      </c>
      <c r="K26" s="804" t="str">
        <f>IF(C26="","",VLOOKUP(C26,liste!$A$9:$G$145,3,FALSE))</f>
        <v/>
      </c>
      <c r="L26" s="805"/>
      <c r="M26" s="805"/>
      <c r="N26" s="806"/>
      <c r="O26" s="504"/>
      <c r="P26" s="825">
        <f>liste!$B$145</f>
        <v>0</v>
      </c>
      <c r="Q26" s="825"/>
      <c r="R26" s="825"/>
      <c r="S26" s="825"/>
      <c r="T26" s="825"/>
      <c r="U26" s="825"/>
      <c r="V26" s="504"/>
      <c r="W26" s="504"/>
      <c r="X26" s="504"/>
      <c r="Y26" s="504"/>
      <c r="Z26" s="504"/>
      <c r="AA26" s="506"/>
      <c r="AC26" s="331"/>
      <c r="AD26" s="332"/>
      <c r="AE26" s="332"/>
      <c r="AF26" s="333"/>
      <c r="AG26" s="333"/>
      <c r="AH26" s="333"/>
      <c r="AI26" s="333"/>
      <c r="AJ26" s="334"/>
      <c r="AK26" s="334"/>
      <c r="AL26" s="335"/>
      <c r="AM26" s="334" t="s">
        <v>72</v>
      </c>
      <c r="AN26" s="333"/>
      <c r="AO26" s="336"/>
      <c r="AP26" s="337">
        <f>SUM(AP20:AP25)</f>
        <v>0</v>
      </c>
      <c r="AQ26" s="338">
        <f>SUM(AQ20:AQ25)</f>
        <v>0</v>
      </c>
      <c r="AR26" s="338">
        <f>SUM(AR20:AR25)</f>
        <v>0</v>
      </c>
      <c r="AS26" s="339">
        <f>SUM(AS20:AS25)</f>
        <v>0</v>
      </c>
      <c r="AT26" s="340">
        <f>SUM(AT20:AT25)</f>
        <v>0</v>
      </c>
      <c r="AU26" s="252"/>
      <c r="AV26" s="236"/>
      <c r="AW26" s="236"/>
      <c r="AX26" s="236"/>
      <c r="AY26" s="323"/>
      <c r="AZ26" s="323"/>
      <c r="BA26" s="323"/>
      <c r="BB26" s="323"/>
      <c r="BC26" s="323"/>
      <c r="BD26" s="252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8"/>
      <c r="BS26" s="248">
        <f>AE17</f>
        <v>0</v>
      </c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9"/>
      <c r="DB26" s="249"/>
      <c r="DC26" s="249"/>
      <c r="DD26" s="249"/>
      <c r="DE26" s="249"/>
      <c r="DF26" s="249"/>
      <c r="DG26" s="248"/>
      <c r="DH26" s="248"/>
      <c r="DI26" s="249"/>
      <c r="DJ26" s="249"/>
      <c r="DK26" s="249"/>
      <c r="DL26" s="249"/>
      <c r="DM26" s="249"/>
      <c r="DN26" s="249"/>
      <c r="DO26" s="248"/>
      <c r="DP26" s="248"/>
      <c r="DQ26" s="249"/>
      <c r="DR26" s="249"/>
      <c r="DS26" s="249"/>
      <c r="DT26" s="249"/>
      <c r="DU26" s="249"/>
      <c r="DV26" s="249"/>
      <c r="DW26" s="248"/>
      <c r="DX26" s="248"/>
      <c r="DY26" s="249"/>
      <c r="DZ26" s="249"/>
      <c r="EA26" s="236"/>
      <c r="EB26" s="249"/>
      <c r="EC26" s="249"/>
      <c r="ED26" s="249"/>
      <c r="EE26" s="248">
        <f>SUM(DY26:ED26)</f>
        <v>0</v>
      </c>
      <c r="EF26" s="248"/>
      <c r="EG26" s="236"/>
      <c r="EH26" s="248"/>
      <c r="EI26" s="248"/>
      <c r="EJ26" s="248"/>
      <c r="EK26" s="248"/>
      <c r="EL26" s="248"/>
      <c r="EM26" s="248"/>
      <c r="EN26" s="248"/>
      <c r="EO26" s="236"/>
      <c r="EP26" s="236"/>
      <c r="EQ26" s="236"/>
      <c r="ER26" s="236"/>
      <c r="ES26" s="236"/>
      <c r="ET26" s="236"/>
      <c r="EU26" s="248"/>
      <c r="EV26" s="248"/>
      <c r="EW26" s="236"/>
      <c r="EX26" s="236"/>
      <c r="EY26" s="236"/>
      <c r="EZ26" s="236"/>
      <c r="FA26" s="236"/>
      <c r="FB26" s="236"/>
      <c r="FC26" s="248"/>
      <c r="FD26" s="248"/>
      <c r="FE26" s="248"/>
      <c r="FF26" s="248"/>
      <c r="FG26" s="248"/>
      <c r="FH26" s="248"/>
      <c r="FI26" s="248"/>
      <c r="FJ26" s="236"/>
      <c r="FK26" s="236"/>
      <c r="FL26" s="236"/>
      <c r="FM26" s="236"/>
    </row>
    <row r="27" spans="1:169" ht="27.95" customHeight="1" thickTop="1" x14ac:dyDescent="0.2">
      <c r="A27" s="877" t="s">
        <v>291</v>
      </c>
      <c r="B27" s="878"/>
      <c r="C27" s="868" t="str">
        <f>IF($AB22&lt;6,"",IF($X23=3,C9,IF($Y23=3,C10,IF($Z23=3,C11,IF($AA23=3,C12)))))</f>
        <v/>
      </c>
      <c r="D27" s="869"/>
      <c r="E27" s="804" t="str">
        <f>IF(C27="","",VLOOKUP(C27,liste!$A$9:$G$145,2,FALSE))</f>
        <v/>
      </c>
      <c r="F27" s="805"/>
      <c r="G27" s="805"/>
      <c r="H27" s="805"/>
      <c r="I27" s="806"/>
      <c r="J27" s="585" t="str">
        <f>IF(C27="","",VLOOKUP(C27,liste!$A$9:$G$145,4,FALSE))</f>
        <v/>
      </c>
      <c r="K27" s="804" t="str">
        <f>IF(C27="","",VLOOKUP(C27,liste!$A$9:$G$145,3,FALSE))</f>
        <v/>
      </c>
      <c r="L27" s="805"/>
      <c r="M27" s="805"/>
      <c r="N27" s="806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6"/>
      <c r="AU27" s="252"/>
      <c r="AV27" s="236"/>
      <c r="AW27" s="236"/>
      <c r="AX27" s="236"/>
      <c r="AY27" s="323"/>
      <c r="AZ27" s="323"/>
      <c r="BA27" s="323"/>
      <c r="BB27" s="323"/>
      <c r="BC27" s="323"/>
      <c r="BD27" s="252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9"/>
      <c r="DB27" s="249"/>
      <c r="DC27" s="249"/>
      <c r="DD27" s="249"/>
      <c r="DE27" s="249"/>
      <c r="DF27" s="249"/>
      <c r="DG27" s="248"/>
      <c r="DH27" s="248"/>
      <c r="DI27" s="249"/>
      <c r="DJ27" s="249"/>
      <c r="DK27" s="249"/>
      <c r="DL27" s="249"/>
      <c r="DM27" s="249"/>
      <c r="DN27" s="249"/>
      <c r="DO27" s="248"/>
      <c r="DP27" s="248"/>
      <c r="DQ27" s="249"/>
      <c r="DR27" s="249"/>
      <c r="DS27" s="249"/>
      <c r="DT27" s="249"/>
      <c r="DU27" s="249"/>
      <c r="DV27" s="249"/>
      <c r="DW27" s="248"/>
      <c r="DX27" s="248"/>
      <c r="DY27" s="249"/>
      <c r="DZ27" s="249"/>
      <c r="EA27" s="249"/>
      <c r="EB27" s="249"/>
      <c r="EC27" s="249"/>
      <c r="ED27" s="249"/>
      <c r="EE27" s="248">
        <f>SUM(DY27:ED27)</f>
        <v>0</v>
      </c>
      <c r="EF27" s="248"/>
      <c r="EG27" s="241"/>
      <c r="EH27" s="241"/>
      <c r="EI27" s="241"/>
      <c r="EJ27" s="241"/>
      <c r="EK27" s="241"/>
      <c r="EL27" s="241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36"/>
      <c r="FK27" s="236"/>
      <c r="FL27" s="236"/>
      <c r="FM27" s="236"/>
    </row>
    <row r="28" spans="1:169" ht="21.95" customHeight="1" thickBot="1" x14ac:dyDescent="0.25">
      <c r="A28" s="888" t="s">
        <v>292</v>
      </c>
      <c r="B28" s="889"/>
      <c r="C28" s="860" t="str">
        <f>IF($AB22&lt;6,"",IF($X23=4,C9,IF($Y23=4,C10,IF($Z23=4,C11,IF(AA23=4,C12)))))</f>
        <v/>
      </c>
      <c r="D28" s="861"/>
      <c r="E28" s="814" t="str">
        <f>IF(C28="","",VLOOKUP(C28,liste!$A$9:$G$145,2,FALSE))</f>
        <v/>
      </c>
      <c r="F28" s="815"/>
      <c r="G28" s="815"/>
      <c r="H28" s="815"/>
      <c r="I28" s="816"/>
      <c r="J28" s="586" t="str">
        <f>IF(C28="","",VLOOKUP(C28,liste!$A$9:$G$145,4,FALSE))</f>
        <v/>
      </c>
      <c r="K28" s="814" t="str">
        <f>IF(C28="","",VLOOKUP(C28,liste!$A$9:$G$145,3,FALSE))</f>
        <v/>
      </c>
      <c r="L28" s="815"/>
      <c r="M28" s="815"/>
      <c r="N28" s="81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U28" s="252"/>
      <c r="AV28" s="236"/>
      <c r="AW28" s="236"/>
      <c r="AX28" s="236"/>
      <c r="AY28" s="323"/>
      <c r="AZ28" s="323"/>
      <c r="BA28" s="323"/>
      <c r="BB28" s="323"/>
      <c r="BC28" s="323"/>
      <c r="BD28" s="252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1"/>
      <c r="CG28" s="241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 t="s">
        <v>5</v>
      </c>
      <c r="CT28" s="248" t="s">
        <v>5</v>
      </c>
      <c r="CU28" s="248"/>
      <c r="CV28" s="248"/>
      <c r="CW28" s="248" t="s">
        <v>5</v>
      </c>
      <c r="CX28" s="248" t="s">
        <v>5</v>
      </c>
      <c r="CY28" s="248"/>
      <c r="CZ28" s="248"/>
      <c r="DA28" s="249" t="s">
        <v>5</v>
      </c>
      <c r="DB28" s="249" t="s">
        <v>5</v>
      </c>
      <c r="DC28" s="249"/>
      <c r="DD28" s="249"/>
      <c r="DE28" s="249" t="s">
        <v>5</v>
      </c>
      <c r="DF28" s="249" t="s">
        <v>5</v>
      </c>
      <c r="DG28" s="248"/>
      <c r="DH28" s="248"/>
      <c r="DI28" s="249" t="s">
        <v>5</v>
      </c>
      <c r="DJ28" s="249" t="s">
        <v>5</v>
      </c>
      <c r="DK28" s="249"/>
      <c r="DL28" s="249"/>
      <c r="DM28" s="249" t="s">
        <v>5</v>
      </c>
      <c r="DN28" s="249" t="s">
        <v>5</v>
      </c>
      <c r="DO28" s="248"/>
      <c r="DP28" s="248"/>
      <c r="DQ28" s="249" t="s">
        <v>5</v>
      </c>
      <c r="DR28" s="249" t="s">
        <v>5</v>
      </c>
      <c r="DS28" s="249"/>
      <c r="DT28" s="249"/>
      <c r="DU28" s="249" t="s">
        <v>5</v>
      </c>
      <c r="DV28" s="249" t="s">
        <v>5</v>
      </c>
      <c r="DW28" s="248"/>
      <c r="DX28" s="248"/>
      <c r="DY28" s="249" t="s">
        <v>5</v>
      </c>
      <c r="DZ28" s="249" t="s">
        <v>71</v>
      </c>
      <c r="EA28" s="249" t="s">
        <v>5</v>
      </c>
      <c r="EB28" s="249"/>
      <c r="EC28" s="249"/>
      <c r="ED28" s="249" t="s">
        <v>5</v>
      </c>
      <c r="EE28" s="248">
        <f>SUM(DY28:ED28)</f>
        <v>0</v>
      </c>
      <c r="EF28" s="248"/>
      <c r="EG28" s="248"/>
      <c r="EH28" s="248"/>
      <c r="EI28" s="248"/>
      <c r="EJ28" s="248"/>
      <c r="EK28" s="248"/>
      <c r="EL28" s="248"/>
      <c r="EM28" s="248"/>
      <c r="EN28" s="248"/>
      <c r="EO28" s="248" t="s">
        <v>5</v>
      </c>
      <c r="EP28" s="248" t="s">
        <v>71</v>
      </c>
      <c r="EQ28" s="248" t="s">
        <v>5</v>
      </c>
      <c r="ER28" s="248"/>
      <c r="ES28" s="248"/>
      <c r="ET28" s="248" t="s">
        <v>5</v>
      </c>
      <c r="EU28" s="248"/>
      <c r="EV28" s="248"/>
      <c r="EW28" s="248" t="s">
        <v>5</v>
      </c>
      <c r="EX28" s="248" t="s">
        <v>5</v>
      </c>
      <c r="EY28" s="248"/>
      <c r="EZ28" s="248"/>
      <c r="FA28" s="248" t="s">
        <v>5</v>
      </c>
      <c r="FB28" s="248" t="s">
        <v>5</v>
      </c>
      <c r="FC28" s="248"/>
      <c r="FD28" s="248"/>
      <c r="FE28" s="248"/>
      <c r="FF28" s="248"/>
      <c r="FG28" s="248"/>
      <c r="FH28" s="248"/>
      <c r="FI28" s="248"/>
      <c r="FJ28" s="236"/>
      <c r="FK28" s="236"/>
      <c r="FL28" s="236"/>
      <c r="FM28" s="236"/>
    </row>
    <row r="29" spans="1:169" ht="30" customHeight="1" x14ac:dyDescent="0.2">
      <c r="A29" s="587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E29" s="599"/>
      <c r="AF29" s="599"/>
      <c r="AG29" s="599"/>
      <c r="AH29" s="599"/>
      <c r="AI29" s="599"/>
      <c r="AJ29" s="599"/>
      <c r="AK29" s="599"/>
      <c r="AL29" s="599"/>
      <c r="AM29" s="599"/>
      <c r="AN29" s="599"/>
      <c r="AO29" s="599"/>
      <c r="AP29" s="599"/>
      <c r="AQ29" s="599"/>
      <c r="AR29" s="599"/>
      <c r="AU29" s="252"/>
      <c r="AV29" s="236"/>
      <c r="AW29" s="236"/>
      <c r="AX29" s="236"/>
      <c r="AY29" s="323"/>
      <c r="AZ29" s="323"/>
      <c r="BA29" s="323"/>
      <c r="BB29" s="323"/>
      <c r="BC29" s="323"/>
      <c r="BD29" s="252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8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1"/>
      <c r="DH29" s="248"/>
      <c r="DI29" s="249"/>
      <c r="DJ29" s="249"/>
      <c r="DK29" s="249"/>
      <c r="DL29" s="249"/>
      <c r="DM29" s="249"/>
      <c r="DN29" s="249"/>
      <c r="DO29" s="248"/>
      <c r="DP29" s="248"/>
      <c r="DQ29" s="249"/>
      <c r="DR29" s="249"/>
      <c r="DS29" s="249"/>
      <c r="DT29" s="249"/>
      <c r="DU29" s="249"/>
      <c r="DV29" s="249"/>
      <c r="DW29" s="241"/>
      <c r="DX29" s="248"/>
      <c r="DY29" s="248"/>
      <c r="DZ29" s="248"/>
      <c r="EA29" s="248"/>
      <c r="EB29" s="248"/>
      <c r="EC29" s="248"/>
      <c r="ED29" s="248"/>
      <c r="EE29" s="248">
        <f>SUM(DY29:ED29)</f>
        <v>0</v>
      </c>
      <c r="EF29" s="248"/>
      <c r="EG29" s="236"/>
      <c r="EH29" s="236"/>
      <c r="EI29" s="236"/>
      <c r="EJ29" s="236"/>
      <c r="EK29" s="236"/>
      <c r="EL29" s="236"/>
      <c r="EM29" s="241"/>
      <c r="EN29" s="248"/>
      <c r="EO29" s="248"/>
      <c r="EP29" s="248"/>
      <c r="EQ29" s="248"/>
      <c r="ER29" s="248"/>
      <c r="ES29" s="248"/>
      <c r="ET29" s="248"/>
      <c r="EU29" s="241"/>
      <c r="EV29" s="248"/>
      <c r="EW29" s="248"/>
      <c r="EX29" s="248"/>
      <c r="EY29" s="248"/>
      <c r="EZ29" s="248"/>
      <c r="FA29" s="248"/>
      <c r="FB29" s="248"/>
      <c r="FC29" s="241"/>
      <c r="FD29" s="248"/>
      <c r="FE29" s="248"/>
      <c r="FF29" s="248"/>
      <c r="FG29" s="248"/>
      <c r="FH29" s="248"/>
      <c r="FI29" s="248"/>
      <c r="FJ29" s="236"/>
      <c r="FK29" s="236"/>
      <c r="FL29" s="236"/>
      <c r="FM29" s="236"/>
    </row>
    <row r="30" spans="1:169" ht="30" customHeight="1" x14ac:dyDescent="0.2">
      <c r="A30" s="893" t="str">
        <f>$A$1</f>
        <v>Circuit décathlon</v>
      </c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C30" s="236"/>
      <c r="AD30" s="236"/>
      <c r="AE30" s="599"/>
      <c r="AF30" s="599"/>
      <c r="AG30" s="599"/>
      <c r="AH30" s="599"/>
      <c r="AI30" s="599"/>
      <c r="AJ30" s="599"/>
      <c r="AK30" s="599"/>
      <c r="AL30" s="599"/>
      <c r="AM30" s="599"/>
      <c r="AN30" s="599"/>
      <c r="AO30" s="599"/>
      <c r="AP30" s="599"/>
      <c r="AQ30" s="599"/>
      <c r="AR30" s="599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</row>
    <row r="31" spans="1:169" ht="21.95" customHeight="1" x14ac:dyDescent="0.2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C31" s="236"/>
      <c r="AD31" s="236"/>
      <c r="AE31" s="599"/>
      <c r="AF31" s="599"/>
      <c r="AG31" s="599"/>
      <c r="AH31" s="599"/>
      <c r="AI31" s="599"/>
      <c r="AJ31" s="599"/>
      <c r="AK31" s="599"/>
      <c r="AL31" s="599"/>
      <c r="AM31" s="599"/>
      <c r="AN31" s="599"/>
      <c r="AO31" s="599"/>
      <c r="AP31" s="599"/>
      <c r="AQ31" s="599"/>
      <c r="AR31" s="599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</row>
    <row r="32" spans="1:169" ht="21.95" customHeight="1" x14ac:dyDescent="0.2">
      <c r="A32" s="502"/>
      <c r="B32" s="503"/>
      <c r="C32" s="504"/>
      <c r="D32" s="504"/>
      <c r="E32" s="504"/>
      <c r="F32" s="504"/>
      <c r="G32" s="503"/>
      <c r="H32" s="505"/>
      <c r="I32" s="506"/>
      <c r="J32" s="506"/>
      <c r="K32" s="506"/>
      <c r="L32" s="507"/>
      <c r="M32" s="506"/>
      <c r="N32" s="506"/>
      <c r="O32" s="508"/>
      <c r="P32" s="508"/>
      <c r="Q32" s="508"/>
      <c r="R32" s="508"/>
      <c r="S32" s="508"/>
      <c r="T32" s="504"/>
      <c r="U32" s="505"/>
      <c r="V32" s="505"/>
      <c r="W32" s="504"/>
      <c r="X32" s="504"/>
      <c r="Y32" s="504"/>
      <c r="Z32" s="504"/>
      <c r="AA32" s="502"/>
      <c r="AC32" s="236"/>
      <c r="AD32" s="236"/>
      <c r="AE32" s="599"/>
      <c r="AF32" s="599"/>
      <c r="AG32" s="599"/>
      <c r="AH32" s="599"/>
      <c r="AI32" s="599"/>
      <c r="AJ32" s="599"/>
      <c r="AK32" s="599"/>
      <c r="AL32" s="599"/>
      <c r="AM32" s="599"/>
      <c r="AN32" s="599"/>
      <c r="AO32" s="599"/>
      <c r="AP32" s="599"/>
      <c r="AQ32" s="599"/>
      <c r="AR32" s="599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</row>
    <row r="33" spans="1:169" ht="21.95" customHeight="1" x14ac:dyDescent="0.2">
      <c r="A33" s="503"/>
      <c r="B33" s="503"/>
      <c r="C33" s="504"/>
      <c r="D33" s="503"/>
      <c r="E33" s="509" t="s">
        <v>6</v>
      </c>
      <c r="F33" s="894" t="str">
        <f>$F$4</f>
        <v>Champagné</v>
      </c>
      <c r="G33" s="894"/>
      <c r="H33" s="894"/>
      <c r="I33" s="894"/>
      <c r="J33" s="894"/>
      <c r="K33" s="506"/>
      <c r="L33" s="506"/>
      <c r="M33" s="506"/>
      <c r="N33" s="508"/>
      <c r="O33" s="508"/>
      <c r="P33" s="508"/>
      <c r="Q33" s="508"/>
      <c r="R33" s="508"/>
      <c r="S33" s="509" t="s">
        <v>7</v>
      </c>
      <c r="T33" s="846">
        <f>$T$4</f>
        <v>43421</v>
      </c>
      <c r="U33" s="846"/>
      <c r="V33" s="846"/>
      <c r="W33" s="846"/>
      <c r="X33" s="846"/>
      <c r="Y33" s="846"/>
      <c r="Z33" s="510"/>
      <c r="AA33" s="50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</row>
    <row r="34" spans="1:169" ht="21.95" customHeight="1" x14ac:dyDescent="0.2">
      <c r="A34" s="503"/>
      <c r="B34" s="503"/>
      <c r="C34" s="503"/>
      <c r="D34" s="503"/>
      <c r="E34" s="503"/>
      <c r="F34" s="503"/>
      <c r="G34" s="506"/>
      <c r="H34" s="506"/>
      <c r="I34" s="506"/>
      <c r="J34" s="506"/>
      <c r="K34" s="506"/>
      <c r="L34" s="506"/>
      <c r="M34" s="506"/>
      <c r="N34" s="508"/>
      <c r="O34" s="508"/>
      <c r="P34" s="508"/>
      <c r="Q34" s="508"/>
      <c r="R34" s="508"/>
      <c r="S34" s="508"/>
      <c r="T34" s="508"/>
      <c r="U34" s="508"/>
      <c r="V34" s="506"/>
      <c r="W34" s="504"/>
      <c r="X34" s="504"/>
      <c r="Y34" s="504"/>
      <c r="Z34" s="506"/>
      <c r="AA34" s="50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</row>
    <row r="35" spans="1:169" ht="21.95" customHeight="1" x14ac:dyDescent="0.2">
      <c r="A35" s="502"/>
      <c r="B35" s="503"/>
      <c r="C35" s="503"/>
      <c r="D35" s="503"/>
      <c r="E35" s="509" t="s">
        <v>11</v>
      </c>
      <c r="F35" s="885" t="str">
        <f>F6</f>
        <v>Minimes</v>
      </c>
      <c r="G35" s="885"/>
      <c r="H35" s="885"/>
      <c r="I35" s="885"/>
      <c r="J35" s="885"/>
      <c r="K35" s="885"/>
      <c r="L35" s="511" t="s">
        <v>2</v>
      </c>
      <c r="M35" s="512" t="s">
        <v>73</v>
      </c>
      <c r="N35" s="504"/>
      <c r="O35" s="513" t="s">
        <v>287</v>
      </c>
      <c r="P35" s="503"/>
      <c r="Q35" s="512">
        <f>Rens!C12</f>
        <v>0</v>
      </c>
      <c r="R35" s="503"/>
      <c r="S35" s="503"/>
      <c r="T35" s="508"/>
      <c r="U35" s="513"/>
      <c r="V35" s="514" t="s">
        <v>171</v>
      </c>
      <c r="W35" s="504"/>
      <c r="X35" s="895" t="str">
        <f>Rens!$E$1</f>
        <v>2018/2019</v>
      </c>
      <c r="Y35" s="895"/>
      <c r="Z35" s="895"/>
      <c r="AA35" s="511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</row>
    <row r="36" spans="1:169" ht="21.95" customHeight="1" thickBot="1" x14ac:dyDescent="0.25">
      <c r="A36" s="503"/>
      <c r="B36" s="503"/>
      <c r="C36" s="503"/>
      <c r="D36" s="503"/>
      <c r="E36" s="503"/>
      <c r="F36" s="503"/>
      <c r="G36" s="503"/>
      <c r="H36" s="506"/>
      <c r="I36" s="506"/>
      <c r="J36" s="506"/>
      <c r="K36" s="506"/>
      <c r="L36" s="506"/>
      <c r="M36" s="506"/>
      <c r="N36" s="506"/>
      <c r="O36" s="508"/>
      <c r="P36" s="508"/>
      <c r="Q36" s="508"/>
      <c r="R36" s="508"/>
      <c r="S36" s="508"/>
      <c r="T36" s="508"/>
      <c r="U36" s="508"/>
      <c r="V36" s="508"/>
      <c r="W36" s="508"/>
      <c r="X36" s="506"/>
      <c r="Y36" s="506"/>
      <c r="Z36" s="506"/>
      <c r="AA36" s="506"/>
      <c r="AC36" s="236"/>
      <c r="AD36" s="236"/>
      <c r="AE36" s="237" t="s">
        <v>58</v>
      </c>
      <c r="AF36" s="238"/>
      <c r="AG36" s="238"/>
      <c r="AH36" s="238"/>
      <c r="AI36" s="239" t="s">
        <v>22</v>
      </c>
      <c r="AJ36" s="237" t="s">
        <v>5</v>
      </c>
      <c r="AK36" s="238"/>
      <c r="AL36" s="237" t="s">
        <v>23</v>
      </c>
      <c r="AM36" s="238"/>
      <c r="AN36" s="238"/>
      <c r="AO36" s="238"/>
      <c r="AP36" s="238"/>
      <c r="AQ36" s="238" t="str">
        <f>IF(AI36&lt;&gt;" ",AI36," ")</f>
        <v>IG1</v>
      </c>
      <c r="AR36" s="238"/>
      <c r="AS36" s="240"/>
      <c r="AT36" s="241"/>
      <c r="AU36" s="241"/>
      <c r="AV36" s="241"/>
      <c r="AW36" s="241"/>
      <c r="AX36" s="241"/>
      <c r="AY36" s="241" t="s">
        <v>5</v>
      </c>
      <c r="AZ36" s="241"/>
      <c r="BA36" s="241" t="s">
        <v>24</v>
      </c>
      <c r="BB36" s="241"/>
      <c r="BC36" s="241"/>
      <c r="BD36" s="241"/>
      <c r="BE36" s="241"/>
      <c r="BF36" s="241"/>
      <c r="BG36" s="241"/>
      <c r="BH36" s="242" t="s">
        <v>10</v>
      </c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36"/>
      <c r="FK36" s="236"/>
      <c r="FL36" s="236"/>
      <c r="FM36" s="236"/>
    </row>
    <row r="37" spans="1:169" ht="24.95" customHeight="1" thickBot="1" x14ac:dyDescent="0.25">
      <c r="A37" s="511"/>
      <c r="B37" s="511"/>
      <c r="C37" s="836" t="s">
        <v>8</v>
      </c>
      <c r="D37" s="838"/>
      <c r="E37" s="837"/>
      <c r="F37" s="836" t="s">
        <v>16</v>
      </c>
      <c r="G37" s="838"/>
      <c r="H37" s="837"/>
      <c r="I37" s="836" t="s">
        <v>20</v>
      </c>
      <c r="J37" s="838"/>
      <c r="K37" s="838"/>
      <c r="L37" s="838"/>
      <c r="M37" s="838"/>
      <c r="N37" s="837"/>
      <c r="O37" s="836" t="s">
        <v>4</v>
      </c>
      <c r="P37" s="837"/>
      <c r="Q37" s="836" t="s">
        <v>12</v>
      </c>
      <c r="R37" s="838"/>
      <c r="S37" s="838"/>
      <c r="T37" s="838"/>
      <c r="U37" s="838"/>
      <c r="V37" s="838"/>
      <c r="W37" s="838"/>
      <c r="X37" s="838"/>
      <c r="Y37" s="837"/>
      <c r="Z37" s="836" t="s">
        <v>286</v>
      </c>
      <c r="AA37" s="837"/>
      <c r="AC37" s="236"/>
      <c r="AD37" s="236"/>
      <c r="AE37" s="237" t="s">
        <v>5</v>
      </c>
      <c r="AF37" s="237"/>
      <c r="AG37" s="239" t="s">
        <v>14</v>
      </c>
      <c r="AH37" s="237"/>
      <c r="AI37" s="237"/>
      <c r="AJ37" s="237"/>
      <c r="AK37" s="237"/>
      <c r="AL37" s="237" t="s">
        <v>5</v>
      </c>
      <c r="AM37" s="237"/>
      <c r="AN37" s="238"/>
      <c r="AO37" s="238"/>
      <c r="AP37" s="238"/>
      <c r="AQ37" s="238"/>
      <c r="AR37" s="238"/>
      <c r="AS37" s="240"/>
      <c r="AT37" s="241"/>
      <c r="AU37" s="241"/>
      <c r="AV37" s="241"/>
      <c r="AW37" s="241"/>
      <c r="AX37" s="241"/>
      <c r="AY37" s="241" t="s">
        <v>10</v>
      </c>
      <c r="AZ37" s="241"/>
      <c r="BA37" s="241" t="s">
        <v>25</v>
      </c>
      <c r="BB37" s="242" t="s">
        <v>26</v>
      </c>
      <c r="BC37" s="242" t="s">
        <v>27</v>
      </c>
      <c r="BD37" s="242" t="s">
        <v>28</v>
      </c>
      <c r="BE37" s="242" t="s">
        <v>29</v>
      </c>
      <c r="BF37" s="241" t="s">
        <v>30</v>
      </c>
      <c r="BG37" s="241"/>
      <c r="BH37" s="242" t="s">
        <v>31</v>
      </c>
      <c r="BI37" s="241"/>
      <c r="BJ37" s="241"/>
      <c r="BK37" s="241" t="s">
        <v>32</v>
      </c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36"/>
      <c r="FK37" s="236"/>
      <c r="FL37" s="236"/>
      <c r="FM37" s="236"/>
    </row>
    <row r="38" spans="1:169" ht="27.95" customHeight="1" x14ac:dyDescent="0.2">
      <c r="A38" s="807">
        <v>1</v>
      </c>
      <c r="B38" s="890"/>
      <c r="C38" s="862">
        <f>liste!A14</f>
        <v>6</v>
      </c>
      <c r="D38" s="863"/>
      <c r="E38" s="864"/>
      <c r="F38" s="811">
        <f>IF(C38="","",VLOOKUP(C38,liste!$A$9:$G$145,7,FALSE))</f>
        <v>7223255</v>
      </c>
      <c r="G38" s="812" t="e">
        <f>IF(F38="","",VLOOKUP(F38,liste!$A$9:$G$145,7,FALSE))</f>
        <v>#N/A</v>
      </c>
      <c r="H38" s="813" t="e">
        <f>IF(G38="","",VLOOKUP(G38,liste!$A$9:$G$145,7,FALSE))</f>
        <v>#N/A</v>
      </c>
      <c r="I38" s="849" t="str">
        <f>IF(C38="","",VLOOKUP(C38,liste!$A$9:$G$145,2,FALSE))</f>
        <v>ESVAN Corentin</v>
      </c>
      <c r="J38" s="850"/>
      <c r="K38" s="850"/>
      <c r="L38" s="850"/>
      <c r="M38" s="850"/>
      <c r="N38" s="851"/>
      <c r="O38" s="883">
        <f>IF(C38="","",VLOOKUP(C38,liste!$A$9:$G$145,4,FALSE))</f>
        <v>5</v>
      </c>
      <c r="P38" s="884" t="str">
        <f>IF(J38="","",VLOOKUP(J38,liste!$A$9:$G$145,4,FALSE))</f>
        <v/>
      </c>
      <c r="Q38" s="857" t="str">
        <f>IF(C38="","",VLOOKUP(C38,liste!$A$9:$G$145,3,FALSE))</f>
        <v>RUAUDIN TENNIS DE TABLE</v>
      </c>
      <c r="R38" s="858"/>
      <c r="S38" s="858"/>
      <c r="T38" s="858"/>
      <c r="U38" s="858"/>
      <c r="V38" s="858"/>
      <c r="W38" s="858"/>
      <c r="X38" s="858"/>
      <c r="Y38" s="859"/>
      <c r="Z38" s="857">
        <f>IF(C38="","",VLOOKUP(C38,liste!$A$9:$G$145,6,FALSE))</f>
        <v>500</v>
      </c>
      <c r="AA38" s="859" t="str">
        <f>IF(U38="","",VLOOKUP(U38,liste!$A$9:$G$145,4,FALSE))</f>
        <v/>
      </c>
      <c r="AB38" s="600" t="str">
        <f>"F"&amp;X52&amp;C38</f>
        <v>F6</v>
      </c>
      <c r="AC38" s="236"/>
      <c r="AD38" s="236"/>
      <c r="AE38" s="237" t="s">
        <v>33</v>
      </c>
      <c r="AF38" s="239">
        <v>1</v>
      </c>
      <c r="AG38" s="243">
        <f>C38</f>
        <v>6</v>
      </c>
      <c r="AH38" s="237" t="s">
        <v>5</v>
      </c>
      <c r="AI38" s="237" t="s">
        <v>5</v>
      </c>
      <c r="AJ38" s="237"/>
      <c r="AK38" s="237"/>
      <c r="AL38" s="237" t="s">
        <v>34</v>
      </c>
      <c r="AM38" s="237" t="e">
        <f>IF($BK$38=1,$AF$38,IF($BK$39=1,$AF$39,IF($BK$40=1,$AF$40,IF($BK$41=1,$AF$41,""))))</f>
        <v>#VALUE!</v>
      </c>
      <c r="AN38" s="238"/>
      <c r="AO38" s="244" t="e">
        <f>VLOOKUP(AM38,AF38:AG41,2)</f>
        <v>#VALUE!</v>
      </c>
      <c r="AP38" s="238"/>
      <c r="AQ38" s="238"/>
      <c r="AR38" s="238"/>
      <c r="AS38" s="240" t="s">
        <v>5</v>
      </c>
      <c r="AT38" s="241"/>
      <c r="AU38" s="241"/>
      <c r="AV38" s="245" t="e">
        <f>BH38</f>
        <v>#VALUE!</v>
      </c>
      <c r="AW38" s="241"/>
      <c r="AX38" s="241" t="s">
        <v>33</v>
      </c>
      <c r="AY38" s="241" t="e">
        <f>CF47</f>
        <v>#VALUE!</v>
      </c>
      <c r="AZ38" s="241"/>
      <c r="BA38" s="242" t="e">
        <f>IF(DE47&gt;0,CX47/DE47,IF(CX47&gt;0,CX47/1,0))</f>
        <v>#VALUE!</v>
      </c>
      <c r="BB38" s="242" t="e">
        <f>IF(DS47&gt;0,IF(BA38=0,0,DL47/DS47),IF(DL47&gt;0,DL47/1,0))</f>
        <v>#VALUE!</v>
      </c>
      <c r="BC38" s="241" t="e">
        <f>IF(BA38&lt;&gt;0,IF(EG47&gt;0,DZ47/EG47,0),0)</f>
        <v>#VALUE!</v>
      </c>
      <c r="BD38" s="241" t="s">
        <v>5</v>
      </c>
      <c r="BE38" s="242" t="e">
        <f>IF(EU47&gt;0,IF(BC38=0,0,EN47/EU47),IF(EN47&gt;0,EN47/1,0))</f>
        <v>#VALUE!</v>
      </c>
      <c r="BF38" s="242" t="e">
        <f>IF(BE38&lt;&gt;0,IF(FI47&gt;0,FB47/FI47,0),0)</f>
        <v>#VALUE!</v>
      </c>
      <c r="BG38" s="242" t="s">
        <v>33</v>
      </c>
      <c r="BH38" s="246" t="e">
        <f>AY38+BA38*0.01+BB38*0.0001+BC38*0.000001+BE38*0.00000001+BF38*0.0000000001</f>
        <v>#VALUE!</v>
      </c>
      <c r="BI38" s="241"/>
      <c r="BJ38" s="241"/>
      <c r="BK38" s="242" t="e">
        <f>RANK(BH38,BH38:BH44,)</f>
        <v>#VALUE!</v>
      </c>
      <c r="BL38" s="242"/>
      <c r="BM38" s="242"/>
      <c r="BN38" s="242"/>
      <c r="BO38" s="242" t="e">
        <f>IF(BH38=MIN(BH38:BH43),4,IF(BH38=MAX(BH38:BH43),1,0))</f>
        <v>#VALUE!</v>
      </c>
      <c r="BP38" s="242" t="e">
        <f>IF(BO38=0,BH38,0)</f>
        <v>#VALUE!</v>
      </c>
      <c r="BQ38" s="242" t="e">
        <f>IF(BP38&lt;&gt;0,IF(BP38=MAX(BP38:BP43),2,IF(BP38=MIN(BP38:BP43),3,0)),0)</f>
        <v>#VALUE!</v>
      </c>
      <c r="BR38" s="242" t="e">
        <f>IF(AND(BO38=0,BQ38=0),3,0)</f>
        <v>#VALUE!</v>
      </c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36"/>
      <c r="FK38" s="236"/>
      <c r="FL38" s="236"/>
      <c r="FM38" s="236"/>
    </row>
    <row r="39" spans="1:169" ht="27.95" customHeight="1" x14ac:dyDescent="0.2">
      <c r="A39" s="809">
        <v>2</v>
      </c>
      <c r="B39" s="879"/>
      <c r="C39" s="801">
        <v>9</v>
      </c>
      <c r="D39" s="802"/>
      <c r="E39" s="803"/>
      <c r="F39" s="804">
        <f>IF(C39="","",VLOOKUP(C39,liste!$A$9:$G$145,7,FALSE))</f>
        <v>7223212</v>
      </c>
      <c r="G39" s="805" t="e">
        <f>IF(F39="","",VLOOKUP(F39,liste!$A$9:$G$145,7,FALSE))</f>
        <v>#N/A</v>
      </c>
      <c r="H39" s="806" t="e">
        <f>IF(G39="","",VLOOKUP(G39,liste!$A$9:$G$145,7,FALSE))</f>
        <v>#N/A</v>
      </c>
      <c r="I39" s="852" t="str">
        <f>IF(C39="","",VLOOKUP(C39,liste!$A$9:$G$145,2,FALSE))</f>
        <v>GUIVARCH Leon</v>
      </c>
      <c r="J39" s="853"/>
      <c r="K39" s="853"/>
      <c r="L39" s="853"/>
      <c r="M39" s="853"/>
      <c r="N39" s="854"/>
      <c r="O39" s="855">
        <f>IF(C39="","",VLOOKUP(C39,liste!$A$9:$G$145,4,FALSE))</f>
        <v>5</v>
      </c>
      <c r="P39" s="856" t="str">
        <f>IF(J39="","",VLOOKUP(J39,liste!$A$9:$G$145,4,FALSE))</f>
        <v/>
      </c>
      <c r="Q39" s="829" t="str">
        <f>IF(C39="","",VLOOKUP(C39,liste!$A$9:$G$145,3,FALSE))</f>
        <v>LE MANS ASPTT</v>
      </c>
      <c r="R39" s="830"/>
      <c r="S39" s="830"/>
      <c r="T39" s="830"/>
      <c r="U39" s="830"/>
      <c r="V39" s="830"/>
      <c r="W39" s="830"/>
      <c r="X39" s="830"/>
      <c r="Y39" s="831"/>
      <c r="Z39" s="829">
        <f>IF(C39="","",VLOOKUP(C39,liste!$A$9:$G$145,6,FALSE))</f>
        <v>500</v>
      </c>
      <c r="AA39" s="831" t="str">
        <f>IF(U39="","",VLOOKUP(U39,liste!$A$9:$G$145,4,FALSE))</f>
        <v/>
      </c>
      <c r="AB39" s="600" t="str">
        <f>"F"&amp;Y52&amp;C39</f>
        <v>F9</v>
      </c>
      <c r="AC39" s="236"/>
      <c r="AD39" s="236"/>
      <c r="AE39" s="237" t="s">
        <v>35</v>
      </c>
      <c r="AF39" s="239">
        <v>2</v>
      </c>
      <c r="AG39" s="243">
        <f>C39</f>
        <v>9</v>
      </c>
      <c r="AH39" s="237" t="s">
        <v>5</v>
      </c>
      <c r="AI39" s="237" t="s">
        <v>5</v>
      </c>
      <c r="AJ39" s="237"/>
      <c r="AK39" s="237"/>
      <c r="AL39" s="237" t="s">
        <v>59</v>
      </c>
      <c r="AM39" s="237" t="e">
        <f>IF($BK$38=2,$AF$38,IF($BK$39=2,$AF$39,IF($BK$40=2,$AF$40,IF($BK$41=2,$AF$41,""))))</f>
        <v>#VALUE!</v>
      </c>
      <c r="AN39" s="238"/>
      <c r="AO39" s="244" t="e">
        <f>VLOOKUP(AM39,AF38:AG41,2)</f>
        <v>#VALUE!</v>
      </c>
      <c r="AP39" s="238"/>
      <c r="AQ39" s="238"/>
      <c r="AR39" s="238"/>
      <c r="AS39" s="240" t="s">
        <v>5</v>
      </c>
      <c r="AT39" s="241"/>
      <c r="AU39" s="241"/>
      <c r="AV39" s="245" t="e">
        <f>BH39</f>
        <v>#VALUE!</v>
      </c>
      <c r="AW39" s="241"/>
      <c r="AX39" s="241" t="s">
        <v>35</v>
      </c>
      <c r="AY39" s="241" t="e">
        <f>CF48</f>
        <v>#VALUE!</v>
      </c>
      <c r="AZ39" s="241"/>
      <c r="BA39" s="242" t="e">
        <f>IF(DE48&gt;0,CX48/DE48,IF(CX48&gt;0,CX48/1,0))</f>
        <v>#VALUE!</v>
      </c>
      <c r="BB39" s="242" t="e">
        <f>IF(DS48&gt;0,IF(BA39=0,0,DL48/DS48),IF(DL48&gt;0,DL48/1,0))</f>
        <v>#VALUE!</v>
      </c>
      <c r="BC39" s="241" t="e">
        <f>IF(BA39&lt;&gt;0,IF(EG48&gt;0,DZ48/EG48,0),0)</f>
        <v>#VALUE!</v>
      </c>
      <c r="BD39" s="241" t="s">
        <v>5</v>
      </c>
      <c r="BE39" s="242" t="e">
        <f>IF(EU48&gt;0,IF(BC39=0,0,EN48/EU48),IF(EN48&gt;0,EN48/1,0))</f>
        <v>#VALUE!</v>
      </c>
      <c r="BF39" s="242" t="e">
        <f>IF(BE39&lt;&gt;0,IF(FI48&gt;0,FB48/FI48,0),0)</f>
        <v>#VALUE!</v>
      </c>
      <c r="BG39" s="242" t="s">
        <v>35</v>
      </c>
      <c r="BH39" s="246" t="e">
        <f>AY39+BA39*0.01+BB39*0.0001+BC39*0.000001+BE39*0.00000001+BF39*0.0000000001</f>
        <v>#VALUE!</v>
      </c>
      <c r="BI39" s="241"/>
      <c r="BJ39" s="241"/>
      <c r="BK39" s="242" t="e">
        <f>RANK(BH39,BH38:BH44,)</f>
        <v>#VALUE!</v>
      </c>
      <c r="BL39" s="242"/>
      <c r="BM39" s="242"/>
      <c r="BN39" s="242"/>
      <c r="BO39" s="242" t="e">
        <f>IF(BH39=MIN(BH38:BH43),4,IF(BH39=MAX(BH38:BH43),1,0))</f>
        <v>#VALUE!</v>
      </c>
      <c r="BP39" s="242" t="e">
        <f>IF(BO39=0,BH39,0)</f>
        <v>#VALUE!</v>
      </c>
      <c r="BQ39" s="242" t="e">
        <f>IF(BP39&lt;&gt;0,IF(BP39=MAX(BP38:BP43),2,IF(BP39=MIN(BP38:BP43),3,0)),0)</f>
        <v>#VALUE!</v>
      </c>
      <c r="BR39" s="242" t="e">
        <f>IF(AND(BO39=0,BQ39=0),3,0)</f>
        <v>#VALUE!</v>
      </c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36"/>
      <c r="FK39" s="236"/>
      <c r="FL39" s="236"/>
      <c r="FM39" s="236"/>
    </row>
    <row r="40" spans="1:169" ht="27.95" customHeight="1" x14ac:dyDescent="0.2">
      <c r="A40" s="809">
        <v>3</v>
      </c>
      <c r="B40" s="879"/>
      <c r="C40" s="801">
        <f>liste!A30</f>
        <v>22</v>
      </c>
      <c r="D40" s="802"/>
      <c r="E40" s="803"/>
      <c r="F40" s="804">
        <f>IF(C40="","",VLOOKUP(C40,liste!$A$9:$G$145,7,FALSE))</f>
        <v>7223106</v>
      </c>
      <c r="G40" s="805" t="e">
        <f>IF(F40="","",VLOOKUP(F40,liste!$A$9:$G$145,7,FALSE))</f>
        <v>#N/A</v>
      </c>
      <c r="H40" s="806" t="e">
        <f>IF(G40="","",VLOOKUP(G40,liste!$A$9:$G$145,7,FALSE))</f>
        <v>#N/A</v>
      </c>
      <c r="I40" s="852" t="str">
        <f>IF(C40="","",VLOOKUP(C40,liste!$A$9:$G$145,2,FALSE))</f>
        <v>Baugard Nathan</v>
      </c>
      <c r="J40" s="853"/>
      <c r="K40" s="853"/>
      <c r="L40" s="853"/>
      <c r="M40" s="853"/>
      <c r="N40" s="854"/>
      <c r="O40" s="855">
        <f>IF(C40="","",VLOOKUP(C40,liste!$A$9:$G$145,4,FALSE))</f>
        <v>5</v>
      </c>
      <c r="P40" s="856" t="str">
        <f>IF(J40="","",VLOOKUP(J40,liste!$A$9:$G$145,4,FALSE))</f>
        <v/>
      </c>
      <c r="Q40" s="829" t="str">
        <f>IF(C40="","",VLOOKUP(C40,liste!$A$9:$G$145,3,FALSE))</f>
        <v>savigné</v>
      </c>
      <c r="R40" s="830"/>
      <c r="S40" s="830"/>
      <c r="T40" s="830"/>
      <c r="U40" s="830"/>
      <c r="V40" s="830"/>
      <c r="W40" s="830"/>
      <c r="X40" s="830"/>
      <c r="Y40" s="831"/>
      <c r="Z40" s="829">
        <f>IF(C40="","",VLOOKUP(C40,liste!$A$9:$G$145,6,FALSE))</f>
        <v>500</v>
      </c>
      <c r="AA40" s="831" t="str">
        <f>IF(U40="","",VLOOKUP(U40,liste!$A$9:$G$145,4,FALSE))</f>
        <v/>
      </c>
      <c r="AB40" s="600" t="str">
        <f>"F"&amp;Z52&amp;C40</f>
        <v>F22</v>
      </c>
      <c r="AC40" s="236"/>
      <c r="AD40" s="236"/>
      <c r="AE40" s="237" t="s">
        <v>36</v>
      </c>
      <c r="AF40" s="239">
        <v>3</v>
      </c>
      <c r="AG40" s="243">
        <f>C40</f>
        <v>22</v>
      </c>
      <c r="AH40" s="237" t="s">
        <v>5</v>
      </c>
      <c r="AI40" s="237" t="s">
        <v>5</v>
      </c>
      <c r="AJ40" s="237"/>
      <c r="AK40" s="237"/>
      <c r="AL40" s="237" t="s">
        <v>60</v>
      </c>
      <c r="AM40" s="237" t="e">
        <f>IF($BK$38=3,$AF$38,IF($BK$39=3,$AF$39,IF($BK$40=3,$AF$40,IF($BK$41=3,$AF$41,""))))</f>
        <v>#VALUE!</v>
      </c>
      <c r="AN40" s="238"/>
      <c r="AO40" s="244" t="e">
        <f>VLOOKUP(AM40,AF38:AG41,2)</f>
        <v>#VALUE!</v>
      </c>
      <c r="AP40" s="238"/>
      <c r="AQ40" s="238"/>
      <c r="AR40" s="238"/>
      <c r="AS40" s="240" t="s">
        <v>5</v>
      </c>
      <c r="AT40" s="241"/>
      <c r="AU40" s="241"/>
      <c r="AV40" s="245" t="e">
        <f>BH40</f>
        <v>#VALUE!</v>
      </c>
      <c r="AW40" s="241"/>
      <c r="AX40" s="241" t="s">
        <v>36</v>
      </c>
      <c r="AY40" s="241" t="e">
        <f>CF49</f>
        <v>#VALUE!</v>
      </c>
      <c r="AZ40" s="241"/>
      <c r="BA40" s="242" t="e">
        <f>IF(DE49&gt;0,CX49/DE49,IF(CX49&gt;0,CX49/1,0))</f>
        <v>#VALUE!</v>
      </c>
      <c r="BB40" s="242" t="e">
        <f>IF(DS49&gt;0,IF(BA40=0,0,DL49/DS49),IF(DL49&gt;0,DL49/1,0))</f>
        <v>#VALUE!</v>
      </c>
      <c r="BC40" s="241" t="e">
        <f>IF(BA40&lt;&gt;0,IF(EG49&gt;0,DZ49/EG49,0),0)</f>
        <v>#VALUE!</v>
      </c>
      <c r="BD40" s="241" t="s">
        <v>5</v>
      </c>
      <c r="BE40" s="242" t="e">
        <f>IF(EU49&gt;0,IF(BC40=0,0,EN49/EU49),IF(EN49&gt;0,EN49/1,0))</f>
        <v>#VALUE!</v>
      </c>
      <c r="BF40" s="242" t="e">
        <f>IF(BE40&lt;&gt;0,IF(FI49&gt;0,FB49/FI49,0),0)</f>
        <v>#VALUE!</v>
      </c>
      <c r="BG40" s="242" t="s">
        <v>36</v>
      </c>
      <c r="BH40" s="246" t="e">
        <f>AY40+BA40*0.01+BB40*0.0001+BC40*0.000001+BE40*0.00000001+BF40*0.0000000001</f>
        <v>#VALUE!</v>
      </c>
      <c r="BI40" s="241"/>
      <c r="BJ40" s="241"/>
      <c r="BK40" s="242" t="e">
        <f>RANK(BH40,BH38:BH44,)</f>
        <v>#VALUE!</v>
      </c>
      <c r="BL40" s="242"/>
      <c r="BM40" s="242"/>
      <c r="BN40" s="242"/>
      <c r="BO40" s="242" t="e">
        <f>IF(BH40=MIN(BH38:BH43),4,IF(BH40=MAX(BH38:BH43),1,0))</f>
        <v>#VALUE!</v>
      </c>
      <c r="BP40" s="242" t="e">
        <f>IF(BO40=0,BH40,0)</f>
        <v>#VALUE!</v>
      </c>
      <c r="BQ40" s="242" t="e">
        <f>IF(BP40&lt;&gt;0,IF(BP40=MAX(BP38:BP43),2,IF(BP40=MIN(BP38:BP43),3,0)),0)</f>
        <v>#VALUE!</v>
      </c>
      <c r="BR40" s="242" t="e">
        <f>IF(AND(BO40=0,BQ40=0),3,0)</f>
        <v>#VALUE!</v>
      </c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36"/>
      <c r="FK40" s="236"/>
      <c r="FL40" s="236"/>
      <c r="FM40" s="236"/>
    </row>
    <row r="41" spans="1:169" ht="27.95" customHeight="1" thickBot="1" x14ac:dyDescent="0.25">
      <c r="A41" s="872">
        <v>4</v>
      </c>
      <c r="B41" s="880"/>
      <c r="C41" s="865">
        <f>liste!A35</f>
        <v>27</v>
      </c>
      <c r="D41" s="866"/>
      <c r="E41" s="867"/>
      <c r="F41" s="814">
        <f>IF(C41="","",VLOOKUP(C41,liste!$A$9:$G$145,7,FALSE))</f>
        <v>7223289</v>
      </c>
      <c r="G41" s="815" t="e">
        <f>IF(F41="","",VLOOKUP(F41,liste!$A$9:$G$145,7,FALSE))</f>
        <v>#N/A</v>
      </c>
      <c r="H41" s="816" t="e">
        <f>IF(G41="","",VLOOKUP(G41,liste!$A$9:$G$145,7,FALSE))</f>
        <v>#N/A</v>
      </c>
      <c r="I41" s="826" t="str">
        <f>IF(C41="","",VLOOKUP(C41,liste!$A$9:$G$145,2,FALSE))</f>
        <v>GIRARD Loan</v>
      </c>
      <c r="J41" s="827"/>
      <c r="K41" s="827"/>
      <c r="L41" s="827"/>
      <c r="M41" s="827"/>
      <c r="N41" s="828"/>
      <c r="O41" s="841">
        <f>IF(C41="","",VLOOKUP(C41,liste!$A$9:$G$145,4,FALSE))</f>
        <v>5</v>
      </c>
      <c r="P41" s="842" t="str">
        <f>IF(J41="","",VLOOKUP(J41,liste!$A$9:$G$145,4,FALSE))</f>
        <v/>
      </c>
      <c r="Q41" s="843" t="str">
        <f>IF(C41="","",VLOOKUP(C41,liste!$A$9:$G$145,3,FALSE))</f>
        <v>MAMERS CS</v>
      </c>
      <c r="R41" s="844"/>
      <c r="S41" s="844"/>
      <c r="T41" s="844"/>
      <c r="U41" s="844"/>
      <c r="V41" s="844"/>
      <c r="W41" s="844"/>
      <c r="X41" s="844"/>
      <c r="Y41" s="845"/>
      <c r="Z41" s="843">
        <f>IF(C41="","",VLOOKUP(C41,liste!$A$9:$G$145,6,FALSE))</f>
        <v>500</v>
      </c>
      <c r="AA41" s="845" t="str">
        <f>IF(U41="","",VLOOKUP(U41,liste!$A$9:$G$145,4,FALSE))</f>
        <v/>
      </c>
      <c r="AB41" s="600" t="str">
        <f>"F"&amp;AA52&amp;C41</f>
        <v>F27</v>
      </c>
      <c r="AC41" s="236"/>
      <c r="AD41" s="236"/>
      <c r="AE41" s="237" t="s">
        <v>61</v>
      </c>
      <c r="AF41" s="239">
        <v>4</v>
      </c>
      <c r="AG41" s="243">
        <f>C41</f>
        <v>27</v>
      </c>
      <c r="AH41" s="237" t="s">
        <v>5</v>
      </c>
      <c r="AI41" s="237" t="s">
        <v>5</v>
      </c>
      <c r="AJ41" s="237"/>
      <c r="AK41" s="237"/>
      <c r="AL41" s="237" t="s">
        <v>62</v>
      </c>
      <c r="AM41" s="237" t="e">
        <f>IF($BK$38=4,$AF$38,IF($BK$39=4,$AF$39,IF($BK$40=4,$AF$40,IF($BK$41=4,$AF$41,""))))</f>
        <v>#VALUE!</v>
      </c>
      <c r="AN41" s="238"/>
      <c r="AO41" s="244" t="e">
        <f>VLOOKUP(AM41,AF38:AG41,2)</f>
        <v>#VALUE!</v>
      </c>
      <c r="AP41" s="238"/>
      <c r="AQ41" s="238"/>
      <c r="AR41" s="238"/>
      <c r="AS41" s="240" t="s">
        <v>5</v>
      </c>
      <c r="AT41" s="247"/>
      <c r="AU41" s="241"/>
      <c r="AV41" s="245" t="e">
        <f>BH41</f>
        <v>#VALUE!</v>
      </c>
      <c r="AW41" s="241"/>
      <c r="AX41" s="241" t="s">
        <v>61</v>
      </c>
      <c r="AY41" s="241" t="e">
        <f>CF50</f>
        <v>#VALUE!</v>
      </c>
      <c r="AZ41" s="241"/>
      <c r="BA41" s="242" t="e">
        <f>IF(DE50&gt;0,CX50/DE50,IF(CX50&gt;0,CX50/1,0))</f>
        <v>#VALUE!</v>
      </c>
      <c r="BB41" s="242" t="e">
        <f>IF(DS50&gt;0,IF(BA41=0,0,DL50/DS50),IF(DL50&gt;0,DL50/1,0))</f>
        <v>#VALUE!</v>
      </c>
      <c r="BC41" s="241" t="e">
        <f>IF(BA41&lt;&gt;0,IF(EG50&gt;0,DZ50/EG50,0),0)</f>
        <v>#VALUE!</v>
      </c>
      <c r="BD41" s="241" t="s">
        <v>5</v>
      </c>
      <c r="BE41" s="242" t="e">
        <f>IF(EU50&gt;0,IF(BC41=0,0,EN50/EU50),IF(EN50&gt;0,EN50/1,0))</f>
        <v>#VALUE!</v>
      </c>
      <c r="BF41" s="241" t="e">
        <f>IF(BE41&lt;&gt;0,IF(FI50&gt;0,FB50/FI50,0),0)</f>
        <v>#VALUE!</v>
      </c>
      <c r="BG41" s="242" t="s">
        <v>61</v>
      </c>
      <c r="BH41" s="246" t="e">
        <f>AY41+BA41*0.01+BB41*0.0001+BC41*0.000001+BE41*0.00000001+BF41*0.0000000001</f>
        <v>#VALUE!</v>
      </c>
      <c r="BI41" s="241"/>
      <c r="BJ41" s="241"/>
      <c r="BK41" s="242" t="e">
        <f>RANK(BH41,BH38:BH44,)</f>
        <v>#VALUE!</v>
      </c>
      <c r="BL41" s="242"/>
      <c r="BM41" s="242"/>
      <c r="BN41" s="242"/>
      <c r="BO41" s="242" t="e">
        <f>IF(BH41=MIN(BH38:BH43),4,IF(BH41=MAX(BH38:BH43),1,0))</f>
        <v>#VALUE!</v>
      </c>
      <c r="BP41" s="242" t="e">
        <f>IF(BO41=0,BH41,0)</f>
        <v>#VALUE!</v>
      </c>
      <c r="BQ41" s="242" t="e">
        <f>IF(BP41&lt;&gt;0,IF(BP41=MAX(BP38:BP43),2,IF(BP41=MIN(BP38:BP43),3,0)),0)</f>
        <v>#VALUE!</v>
      </c>
      <c r="BR41" s="242" t="e">
        <f>IF(AND(BO41=0,BQ41=0),3,0)</f>
        <v>#VALUE!</v>
      </c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36"/>
      <c r="FK41" s="236"/>
      <c r="FL41" s="236"/>
      <c r="FM41" s="236"/>
    </row>
    <row r="42" spans="1:169" ht="21.95" customHeight="1" thickBot="1" x14ac:dyDescent="0.25">
      <c r="A42" s="503"/>
      <c r="B42" s="503"/>
      <c r="C42" s="503"/>
      <c r="D42" s="503"/>
      <c r="E42" s="503"/>
      <c r="F42" s="503"/>
      <c r="G42" s="503"/>
      <c r="H42" s="506"/>
      <c r="I42" s="506"/>
      <c r="J42" s="506"/>
      <c r="K42" s="506"/>
      <c r="L42" s="506"/>
      <c r="M42" s="506"/>
      <c r="N42" s="506"/>
      <c r="O42" s="508"/>
      <c r="P42" s="508"/>
      <c r="Q42" s="508"/>
      <c r="R42" s="508"/>
      <c r="S42" s="508"/>
      <c r="T42" s="508"/>
      <c r="U42" s="508"/>
      <c r="V42" s="508"/>
      <c r="W42" s="508"/>
      <c r="X42" s="515"/>
      <c r="Y42" s="515"/>
      <c r="Z42" s="515"/>
      <c r="AA42" s="515"/>
      <c r="AC42" s="236"/>
      <c r="AD42" s="236"/>
      <c r="AE42" s="238"/>
      <c r="AF42" s="244"/>
      <c r="AG42" s="238"/>
      <c r="AH42" s="238"/>
      <c r="AI42" s="238"/>
      <c r="AJ42" s="238"/>
      <c r="AK42" s="238"/>
      <c r="AL42" s="238"/>
      <c r="AM42" s="238"/>
      <c r="AN42" s="238"/>
      <c r="AO42" s="244"/>
      <c r="AP42" s="238"/>
      <c r="AQ42" s="238"/>
      <c r="AR42" s="238"/>
      <c r="AS42" s="241"/>
      <c r="AT42" s="241"/>
      <c r="AU42" s="241"/>
      <c r="AV42" s="241"/>
      <c r="AW42" s="241"/>
      <c r="AX42" s="241"/>
      <c r="AY42" s="241"/>
      <c r="AZ42" s="241"/>
      <c r="BA42" s="242"/>
      <c r="BB42" s="242"/>
      <c r="BC42" s="241"/>
      <c r="BD42" s="241"/>
      <c r="BE42" s="242"/>
      <c r="BF42" s="241"/>
      <c r="BG42" s="242"/>
      <c r="BH42" s="246"/>
      <c r="BI42" s="241"/>
      <c r="BJ42" s="241"/>
      <c r="BK42" s="242"/>
      <c r="BL42" s="242"/>
      <c r="BM42" s="242"/>
      <c r="BN42" s="242"/>
      <c r="BO42" s="242"/>
      <c r="BP42" s="242"/>
      <c r="BQ42" s="242"/>
      <c r="BR42" s="242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36"/>
      <c r="FK42" s="236"/>
      <c r="FL42" s="236"/>
      <c r="FM42" s="236"/>
    </row>
    <row r="43" spans="1:169" ht="21.95" customHeight="1" thickBot="1" x14ac:dyDescent="0.25">
      <c r="A43" s="503"/>
      <c r="B43" s="503"/>
      <c r="C43" s="503"/>
      <c r="D43" s="503"/>
      <c r="E43" s="503"/>
      <c r="F43" s="503"/>
      <c r="G43" s="503"/>
      <c r="H43" s="506"/>
      <c r="I43" s="506"/>
      <c r="J43" s="506"/>
      <c r="K43" s="506"/>
      <c r="L43" s="506"/>
      <c r="M43" s="506"/>
      <c r="N43" s="506"/>
      <c r="O43" s="508"/>
      <c r="P43" s="508"/>
      <c r="Q43" s="508"/>
      <c r="R43" s="839" t="s">
        <v>19</v>
      </c>
      <c r="S43" s="840"/>
      <c r="T43" s="840"/>
      <c r="U43" s="840"/>
      <c r="V43" s="840"/>
      <c r="W43" s="516"/>
      <c r="X43" s="836" t="s">
        <v>10</v>
      </c>
      <c r="Y43" s="838"/>
      <c r="Z43" s="838"/>
      <c r="AA43" s="837"/>
      <c r="AC43" s="236"/>
      <c r="AD43" s="236"/>
      <c r="AE43" s="248"/>
      <c r="AF43" s="249"/>
      <c r="AG43" s="248"/>
      <c r="AH43" s="248"/>
      <c r="AI43" s="248"/>
      <c r="AJ43" s="248"/>
      <c r="AK43" s="248"/>
      <c r="AL43" s="248"/>
      <c r="AM43" s="248"/>
      <c r="AN43" s="248"/>
      <c r="AO43" s="249"/>
      <c r="AP43" s="248"/>
      <c r="AQ43" s="248"/>
      <c r="AR43" s="248"/>
      <c r="AS43" s="241"/>
      <c r="AT43" s="241"/>
      <c r="AU43" s="241"/>
      <c r="AV43" s="241"/>
      <c r="AW43" s="241"/>
      <c r="AX43" s="241"/>
      <c r="AY43" s="241"/>
      <c r="AZ43" s="241"/>
      <c r="BA43" s="242"/>
      <c r="BB43" s="242"/>
      <c r="BC43" s="241"/>
      <c r="BD43" s="241"/>
      <c r="BE43" s="241"/>
      <c r="BF43" s="241"/>
      <c r="BG43" s="242"/>
      <c r="BH43" s="246"/>
      <c r="BI43" s="241"/>
      <c r="BJ43" s="241"/>
      <c r="BK43" s="242"/>
      <c r="BL43" s="242"/>
      <c r="BM43" s="242"/>
      <c r="BN43" s="242"/>
      <c r="BO43" s="242"/>
      <c r="BP43" s="242"/>
      <c r="BQ43" s="242"/>
      <c r="BR43" s="242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36"/>
      <c r="FK43" s="236"/>
      <c r="FL43" s="236"/>
      <c r="FM43" s="236"/>
    </row>
    <row r="44" spans="1:169" ht="21.95" customHeight="1" thickBot="1" x14ac:dyDescent="0.25">
      <c r="A44" s="517"/>
      <c r="B44" s="517"/>
      <c r="C44" s="517"/>
      <c r="D44" s="517"/>
      <c r="E44" s="518" t="s">
        <v>181</v>
      </c>
      <c r="F44" s="519" t="s">
        <v>178</v>
      </c>
      <c r="G44" s="517"/>
      <c r="H44" s="515"/>
      <c r="I44" s="515"/>
      <c r="J44" s="515"/>
      <c r="K44" s="515"/>
      <c r="L44" s="515"/>
      <c r="M44" s="515"/>
      <c r="N44" s="515"/>
      <c r="O44" s="520"/>
      <c r="P44" s="520"/>
      <c r="Q44" s="520"/>
      <c r="R44" s="521">
        <v>1</v>
      </c>
      <c r="S44" s="522">
        <v>2</v>
      </c>
      <c r="T44" s="522">
        <v>3</v>
      </c>
      <c r="U44" s="523">
        <v>4</v>
      </c>
      <c r="V44" s="524">
        <v>5</v>
      </c>
      <c r="W44" s="516"/>
      <c r="X44" s="525">
        <v>1</v>
      </c>
      <c r="Y44" s="526">
        <v>2</v>
      </c>
      <c r="Z44" s="526">
        <v>3</v>
      </c>
      <c r="AA44" s="527">
        <v>4</v>
      </c>
      <c r="AC44" s="236"/>
      <c r="AD44" s="236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2"/>
      <c r="BL44" s="242"/>
      <c r="BM44" s="242"/>
      <c r="BN44" s="242"/>
      <c r="BO44" s="242"/>
      <c r="BP44" s="242"/>
      <c r="BQ44" s="242"/>
      <c r="BR44" s="242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36"/>
      <c r="FK44" s="236"/>
      <c r="FL44" s="236"/>
      <c r="FM44" s="236"/>
    </row>
    <row r="45" spans="1:169" ht="27.95" customHeight="1" x14ac:dyDescent="0.2">
      <c r="A45" s="528">
        <v>1</v>
      </c>
      <c r="B45" s="529" t="s">
        <v>13</v>
      </c>
      <c r="C45" s="530">
        <v>4</v>
      </c>
      <c r="D45" s="531" t="str">
        <f>Rens!$F$4</f>
        <v>Sa</v>
      </c>
      <c r="E45" s="532">
        <f>Rens!$B$12</f>
        <v>0</v>
      </c>
      <c r="F45" s="533">
        <f>Rens!$C$12</f>
        <v>0</v>
      </c>
      <c r="G45" s="832" t="str">
        <f t="shared" ref="G45:G50" si="24" xml:space="preserve"> VLOOKUP(A45,$A$38:$O$41,9)</f>
        <v>ESVAN Corentin</v>
      </c>
      <c r="H45" s="821"/>
      <c r="I45" s="821"/>
      <c r="J45" s="821"/>
      <c r="K45" s="821"/>
      <c r="L45" s="534" t="s">
        <v>9</v>
      </c>
      <c r="M45" s="821" t="str">
        <f t="shared" ref="M45:M50" si="25" xml:space="preserve"> VLOOKUP(C45,$A$38:$O$41,9)</f>
        <v>GIRARD Loan</v>
      </c>
      <c r="N45" s="821"/>
      <c r="O45" s="821"/>
      <c r="P45" s="821"/>
      <c r="Q45" s="822"/>
      <c r="R45" s="588"/>
      <c r="S45" s="589"/>
      <c r="T45" s="589"/>
      <c r="U45" s="536"/>
      <c r="V45" s="536"/>
      <c r="W45" s="538"/>
      <c r="X45" s="539" t="str">
        <f>IF(AND(COUNTIF(($R45:$V45),"&gt;0")&gt;=2),1,IF(AND(COUNTIF(($R45:$V45),"&lt;0")&gt;=2),0,blanc))</f>
        <v xml:space="preserve"> </v>
      </c>
      <c r="Y45" s="540"/>
      <c r="Z45" s="540"/>
      <c r="AA45" s="541" t="str">
        <f>IF(AND(X45=0),1,IF(AND(X45=1),0,blanc))</f>
        <v xml:space="preserve"> </v>
      </c>
      <c r="AC45" s="236"/>
      <c r="AD45" s="236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>
        <f>BH45</f>
        <v>0</v>
      </c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 t="s">
        <v>41</v>
      </c>
      <c r="CT45" s="241"/>
      <c r="CU45" s="241"/>
      <c r="CV45" s="241"/>
      <c r="CW45" s="241"/>
      <c r="CX45" s="241"/>
      <c r="CY45" s="241"/>
      <c r="CZ45" s="241" t="s">
        <v>42</v>
      </c>
      <c r="DA45" s="241"/>
      <c r="DB45" s="241"/>
      <c r="DC45" s="241"/>
      <c r="DD45" s="241"/>
      <c r="DE45" s="236"/>
      <c r="DF45" s="241"/>
      <c r="DG45" s="241" t="s">
        <v>54</v>
      </c>
      <c r="DH45" s="241"/>
      <c r="DI45" s="241"/>
      <c r="DJ45" s="241"/>
      <c r="DK45" s="241"/>
      <c r="DL45" s="241"/>
      <c r="DM45" s="241"/>
      <c r="DN45" s="241" t="s">
        <v>55</v>
      </c>
      <c r="DO45" s="241"/>
      <c r="DP45" s="241"/>
      <c r="DQ45" s="241"/>
      <c r="DR45" s="241"/>
      <c r="DS45" s="241"/>
      <c r="DT45" s="241"/>
      <c r="DU45" s="241" t="s">
        <v>43</v>
      </c>
      <c r="DV45" s="241"/>
      <c r="DW45" s="241"/>
      <c r="DX45" s="241"/>
      <c r="DY45" s="241"/>
      <c r="DZ45" s="241"/>
      <c r="EA45" s="241"/>
      <c r="EB45" s="241" t="s">
        <v>44</v>
      </c>
      <c r="EC45" s="241"/>
      <c r="ED45" s="241"/>
      <c r="EE45" s="241"/>
      <c r="EF45" s="241"/>
      <c r="EG45" s="241"/>
      <c r="EH45" s="241"/>
      <c r="EI45" s="241" t="s">
        <v>56</v>
      </c>
      <c r="EJ45" s="241"/>
      <c r="EK45" s="241"/>
      <c r="EL45" s="241"/>
      <c r="EM45" s="241"/>
      <c r="EN45" s="241"/>
      <c r="EO45" s="241"/>
      <c r="EP45" s="241" t="s">
        <v>57</v>
      </c>
      <c r="EQ45" s="241"/>
      <c r="ER45" s="241"/>
      <c r="ES45" s="241"/>
      <c r="ET45" s="241"/>
      <c r="EU45" s="241"/>
      <c r="EV45" s="241"/>
      <c r="EW45" s="241" t="s">
        <v>45</v>
      </c>
      <c r="EX45" s="241"/>
      <c r="EY45" s="241"/>
      <c r="EZ45" s="241"/>
      <c r="FA45" s="241"/>
      <c r="FB45" s="241"/>
      <c r="FC45" s="241"/>
      <c r="FD45" s="241" t="s">
        <v>46</v>
      </c>
      <c r="FE45" s="241"/>
      <c r="FF45" s="241"/>
      <c r="FG45" s="241"/>
      <c r="FH45" s="241"/>
      <c r="FI45" s="241"/>
      <c r="FJ45" s="236"/>
      <c r="FK45" s="236"/>
      <c r="FL45" s="236"/>
      <c r="FM45" s="236"/>
    </row>
    <row r="46" spans="1:169" ht="27.95" customHeight="1" thickBot="1" x14ac:dyDescent="0.25">
      <c r="A46" s="542">
        <v>2</v>
      </c>
      <c r="B46" s="543" t="s">
        <v>13</v>
      </c>
      <c r="C46" s="544">
        <v>3</v>
      </c>
      <c r="D46" s="545"/>
      <c r="E46" s="546">
        <f>E45+0.021</f>
        <v>2.1000000000000001E-2</v>
      </c>
      <c r="F46" s="547">
        <f>F45</f>
        <v>0</v>
      </c>
      <c r="G46" s="817" t="str">
        <f t="shared" si="24"/>
        <v>GUIVARCH Leon</v>
      </c>
      <c r="H46" s="818"/>
      <c r="I46" s="818"/>
      <c r="J46" s="818"/>
      <c r="K46" s="818"/>
      <c r="L46" s="548" t="s">
        <v>9</v>
      </c>
      <c r="M46" s="818" t="str">
        <f t="shared" si="25"/>
        <v>Baugard Nathan</v>
      </c>
      <c r="N46" s="818"/>
      <c r="O46" s="818"/>
      <c r="P46" s="818"/>
      <c r="Q46" s="823"/>
      <c r="R46" s="549"/>
      <c r="S46" s="550"/>
      <c r="T46" s="550"/>
      <c r="U46" s="551"/>
      <c r="V46" s="551"/>
      <c r="W46" s="538"/>
      <c r="X46" s="553"/>
      <c r="Y46" s="554" t="str">
        <f>IF(AND(COUNTIF(($R46:$V46),"&gt;0")&gt;=2),1,IF(AND(COUNTIF(($R46:$V46),"&lt;0")&gt;=2),0,blanc))</f>
        <v xml:space="preserve"> </v>
      </c>
      <c r="Z46" s="554" t="str">
        <f>IF(AND(Y46=0),1,IF(AND(Y46=1),0,blanc))</f>
        <v xml:space="preserve"> </v>
      </c>
      <c r="AA46" s="555"/>
      <c r="AC46" s="236"/>
      <c r="AD46" s="236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 t="s">
        <v>33</v>
      </c>
      <c r="BV46" s="241" t="s">
        <v>5</v>
      </c>
      <c r="BW46" s="241" t="s">
        <v>35</v>
      </c>
      <c r="BX46" s="241"/>
      <c r="BY46" s="241" t="s">
        <v>36</v>
      </c>
      <c r="BZ46" s="241"/>
      <c r="CA46" s="241" t="s">
        <v>61</v>
      </c>
      <c r="CB46" s="241"/>
      <c r="CC46" s="241"/>
      <c r="CD46" s="241"/>
      <c r="CE46" s="241"/>
      <c r="CF46" s="250" t="s">
        <v>52</v>
      </c>
      <c r="CG46" s="250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51" t="s">
        <v>33</v>
      </c>
      <c r="CT46" s="242" t="s">
        <v>35</v>
      </c>
      <c r="CU46" s="242" t="s">
        <v>36</v>
      </c>
      <c r="CV46" s="242" t="s">
        <v>61</v>
      </c>
      <c r="CW46" s="242"/>
      <c r="CX46" s="252"/>
      <c r="CY46" s="241"/>
      <c r="CZ46" s="251" t="s">
        <v>33</v>
      </c>
      <c r="DA46" s="242" t="s">
        <v>35</v>
      </c>
      <c r="DB46" s="242" t="s">
        <v>36</v>
      </c>
      <c r="DC46" s="242" t="s">
        <v>61</v>
      </c>
      <c r="DD46" s="242"/>
      <c r="DE46" s="236"/>
      <c r="DF46" s="241"/>
      <c r="DG46" s="251" t="s">
        <v>33</v>
      </c>
      <c r="DH46" s="242" t="s">
        <v>35</v>
      </c>
      <c r="DI46" s="242" t="s">
        <v>36</v>
      </c>
      <c r="DJ46" s="242" t="s">
        <v>61</v>
      </c>
      <c r="DK46" s="242"/>
      <c r="DL46" s="252"/>
      <c r="DM46" s="241"/>
      <c r="DN46" s="251" t="s">
        <v>33</v>
      </c>
      <c r="DO46" s="242" t="s">
        <v>35</v>
      </c>
      <c r="DP46" s="242" t="s">
        <v>36</v>
      </c>
      <c r="DQ46" s="242" t="s">
        <v>61</v>
      </c>
      <c r="DR46" s="242"/>
      <c r="DS46" s="249"/>
      <c r="DT46" s="236"/>
      <c r="DU46" s="251" t="s">
        <v>33</v>
      </c>
      <c r="DV46" s="242" t="s">
        <v>35</v>
      </c>
      <c r="DW46" s="242" t="s">
        <v>36</v>
      </c>
      <c r="DX46" s="242" t="s">
        <v>61</v>
      </c>
      <c r="DY46" s="242"/>
      <c r="DZ46" s="249"/>
      <c r="EA46" s="236"/>
      <c r="EB46" s="251" t="s">
        <v>33</v>
      </c>
      <c r="EC46" s="242" t="s">
        <v>35</v>
      </c>
      <c r="ED46" s="242" t="s">
        <v>36</v>
      </c>
      <c r="EE46" s="242" t="s">
        <v>61</v>
      </c>
      <c r="EF46" s="242"/>
      <c r="EG46" s="252"/>
      <c r="EH46" s="236"/>
      <c r="EI46" s="251" t="s">
        <v>33</v>
      </c>
      <c r="EJ46" s="242" t="s">
        <v>35</v>
      </c>
      <c r="EK46" s="242" t="s">
        <v>36</v>
      </c>
      <c r="EL46" s="242" t="s">
        <v>61</v>
      </c>
      <c r="EM46" s="242"/>
      <c r="EN46" s="252"/>
      <c r="EO46" s="236"/>
      <c r="EP46" s="251" t="s">
        <v>33</v>
      </c>
      <c r="EQ46" s="242" t="s">
        <v>35</v>
      </c>
      <c r="ER46" s="242" t="s">
        <v>36</v>
      </c>
      <c r="ES46" s="242" t="s">
        <v>61</v>
      </c>
      <c r="ET46" s="242"/>
      <c r="EU46" s="242"/>
      <c r="EV46" s="236"/>
      <c r="EW46" s="251" t="s">
        <v>33</v>
      </c>
      <c r="EX46" s="242" t="s">
        <v>35</v>
      </c>
      <c r="EY46" s="242" t="s">
        <v>36</v>
      </c>
      <c r="EZ46" s="242" t="s">
        <v>61</v>
      </c>
      <c r="FA46" s="242"/>
      <c r="FB46" s="242"/>
      <c r="FC46" s="236"/>
      <c r="FD46" s="251" t="s">
        <v>33</v>
      </c>
      <c r="FE46" s="242" t="s">
        <v>35</v>
      </c>
      <c r="FF46" s="242" t="s">
        <v>36</v>
      </c>
      <c r="FG46" s="242" t="s">
        <v>61</v>
      </c>
      <c r="FH46" s="242"/>
      <c r="FI46" s="252"/>
      <c r="FJ46" s="236"/>
      <c r="FK46" s="236"/>
      <c r="FL46" s="236"/>
      <c r="FM46" s="236"/>
    </row>
    <row r="47" spans="1:169" ht="27.95" customHeight="1" thickTop="1" x14ac:dyDescent="0.2">
      <c r="A47" s="542">
        <v>1</v>
      </c>
      <c r="B47" s="543" t="s">
        <v>13</v>
      </c>
      <c r="C47" s="544">
        <v>3</v>
      </c>
      <c r="D47" s="545" t="str">
        <f>D45</f>
        <v>Sa</v>
      </c>
      <c r="E47" s="546">
        <f>E46+0.021</f>
        <v>4.2000000000000003E-2</v>
      </c>
      <c r="F47" s="547">
        <f>F45</f>
        <v>0</v>
      </c>
      <c r="G47" s="817" t="str">
        <f t="shared" si="24"/>
        <v>ESVAN Corentin</v>
      </c>
      <c r="H47" s="818"/>
      <c r="I47" s="818"/>
      <c r="J47" s="818"/>
      <c r="K47" s="818"/>
      <c r="L47" s="548" t="s">
        <v>9</v>
      </c>
      <c r="M47" s="818" t="str">
        <f t="shared" si="25"/>
        <v>Baugard Nathan</v>
      </c>
      <c r="N47" s="818"/>
      <c r="O47" s="818"/>
      <c r="P47" s="818"/>
      <c r="Q47" s="823"/>
      <c r="R47" s="556"/>
      <c r="S47" s="551"/>
      <c r="T47" s="551"/>
      <c r="U47" s="551"/>
      <c r="V47" s="551"/>
      <c r="W47" s="538"/>
      <c r="X47" s="557" t="str">
        <f>IF(AND(COUNTIF(($R47:$V47),"&gt;0")&gt;=2),1,IF(AND(COUNTIF(($R47:$V47),"&lt;0")&gt;=2),0,blanc))</f>
        <v xml:space="preserve"> </v>
      </c>
      <c r="Y47" s="558"/>
      <c r="Z47" s="554" t="str">
        <f>IF(AND(X47=0),1,IF(AND(X47=1),0,blanc))</f>
        <v xml:space="preserve"> </v>
      </c>
      <c r="AA47" s="555"/>
      <c r="AC47" s="253" t="s">
        <v>37</v>
      </c>
      <c r="AD47" s="254" t="str">
        <f>AI36</f>
        <v>IG1</v>
      </c>
      <c r="AE47" s="255"/>
      <c r="AF47" s="256" t="s">
        <v>64</v>
      </c>
      <c r="AG47" s="257"/>
      <c r="AH47" s="256" t="s">
        <v>65</v>
      </c>
      <c r="AI47" s="257"/>
      <c r="AJ47" s="256" t="s">
        <v>66</v>
      </c>
      <c r="AK47" s="257"/>
      <c r="AL47" s="256" t="s">
        <v>67</v>
      </c>
      <c r="AM47" s="258"/>
      <c r="AN47" s="256" t="s">
        <v>68</v>
      </c>
      <c r="AO47" s="259"/>
      <c r="AP47" s="260" t="s">
        <v>38</v>
      </c>
      <c r="AQ47" s="261"/>
      <c r="AR47" s="261"/>
      <c r="AS47" s="261"/>
      <c r="AT47" s="262"/>
      <c r="AU47" s="263"/>
      <c r="AV47" s="264"/>
      <c r="AW47" s="264"/>
      <c r="AX47" s="264"/>
      <c r="AY47" s="265" t="s">
        <v>38</v>
      </c>
      <c r="AZ47" s="255"/>
      <c r="BA47" s="255"/>
      <c r="BB47" s="255"/>
      <c r="BC47" s="266" t="s">
        <v>69</v>
      </c>
      <c r="BD47" s="255"/>
      <c r="BE47" s="255"/>
      <c r="BF47" s="255"/>
      <c r="BG47" s="255"/>
      <c r="BH47" s="255"/>
      <c r="BI47" s="255"/>
      <c r="BJ47" s="255"/>
      <c r="BK47" s="255"/>
      <c r="BL47" s="266" t="s">
        <v>39</v>
      </c>
      <c r="BM47" s="266" t="s">
        <v>40</v>
      </c>
      <c r="BN47" s="266"/>
      <c r="BO47" s="267"/>
      <c r="BQ47" s="268"/>
      <c r="BR47" s="248"/>
      <c r="BS47" s="237" t="str">
        <f>AE38</f>
        <v>A</v>
      </c>
      <c r="BT47" s="269"/>
      <c r="BU47" s="269"/>
      <c r="BV47" s="237" t="str">
        <f>BH53</f>
        <v>M</v>
      </c>
      <c r="BW47" s="237" t="e">
        <f>BL53</f>
        <v>#VALUE!</v>
      </c>
      <c r="BX47" s="237" t="str">
        <f>BH51</f>
        <v>M</v>
      </c>
      <c r="BY47" s="237" t="e">
        <f>BL51</f>
        <v>#VALUE!</v>
      </c>
      <c r="BZ47" s="237" t="str">
        <f>BH49</f>
        <v>M</v>
      </c>
      <c r="CA47" s="270" t="e">
        <f>BL49</f>
        <v>#VALUE!</v>
      </c>
      <c r="CB47" s="248"/>
      <c r="CC47" s="248"/>
      <c r="CD47" s="271"/>
      <c r="CE47" s="271"/>
      <c r="CF47" s="249" t="e">
        <f t="shared" ref="CF47:CF53" si="26">SUM(CH47:CL47)</f>
        <v>#VALUE!</v>
      </c>
      <c r="CG47" s="242" t="e">
        <f t="shared" ref="CG47:CG53" si="27">SUM(CM47:CQ47)</f>
        <v>#VALUE!</v>
      </c>
      <c r="CH47" s="237" t="e">
        <f>IF(BV47&gt;BW47,1,0)</f>
        <v>#VALUE!</v>
      </c>
      <c r="CI47" s="237" t="e">
        <f>IF(BX47&gt;BY47,1,0)</f>
        <v>#VALUE!</v>
      </c>
      <c r="CJ47" s="237" t="e">
        <f>IF(BZ47&gt;CA47,1,0)</f>
        <v>#VALUE!</v>
      </c>
      <c r="CK47" s="237">
        <f>IF(CB47&gt;CC47,1,0)</f>
        <v>0</v>
      </c>
      <c r="CL47" s="237">
        <f>IF(CD47&gt;CE47,1,0)</f>
        <v>0</v>
      </c>
      <c r="CM47" s="272" t="e">
        <f>IF(BV47&lt;BW47,1,0)</f>
        <v>#VALUE!</v>
      </c>
      <c r="CN47" s="237" t="e">
        <f>IF(BX47&lt;BY47,1,0)</f>
        <v>#VALUE!</v>
      </c>
      <c r="CO47" s="237" t="e">
        <f>IF(BZ47&lt;CA47,1,0)</f>
        <v>#VALUE!</v>
      </c>
      <c r="CP47" s="237">
        <f>IF(CB47&lt;CC47,1,0)</f>
        <v>0</v>
      </c>
      <c r="CQ47" s="237">
        <f>IF(CD47&lt;CE47,1,0)</f>
        <v>0</v>
      </c>
      <c r="CR47" s="237" t="s">
        <v>33</v>
      </c>
      <c r="CS47" s="273" t="s">
        <v>53</v>
      </c>
      <c r="CT47" s="239" t="e">
        <f>IF(CF47=CF48,AY53,"xxx")</f>
        <v>#VALUE!</v>
      </c>
      <c r="CU47" s="239" t="e">
        <f>IF(CF47=CF49,AY51,"xxx")</f>
        <v>#VALUE!</v>
      </c>
      <c r="CV47" s="239" t="e">
        <f>IF(CF47=CF50,AY49,"xxx")</f>
        <v>#VALUE!</v>
      </c>
      <c r="CW47" s="274"/>
      <c r="CX47" s="249" t="e">
        <f>SUM(CS47:CW47)</f>
        <v>#VALUE!</v>
      </c>
      <c r="CY47" s="237" t="s">
        <v>33</v>
      </c>
      <c r="CZ47" s="273" t="s">
        <v>53</v>
      </c>
      <c r="DA47" s="239" t="e">
        <f>IF(CF47=CF48,AZ53,"xxx")</f>
        <v>#VALUE!</v>
      </c>
      <c r="DB47" s="239" t="e">
        <f>IF(CF47=CF49,BA51,"xxx")</f>
        <v>#VALUE!</v>
      </c>
      <c r="DC47" s="239" t="e">
        <f>IF(CF47=CF50,BB49,"xxx")</f>
        <v>#VALUE!</v>
      </c>
      <c r="DD47" s="274"/>
      <c r="DE47" s="249" t="e">
        <f>SUM(CZ47:DD47)</f>
        <v>#VALUE!</v>
      </c>
      <c r="DF47" s="237" t="s">
        <v>33</v>
      </c>
      <c r="DG47" s="273" t="s">
        <v>53</v>
      </c>
      <c r="DH47" s="239" t="e">
        <f>IF(AND(BA38&lt;&gt;0,AY38=AY39),IF(BA38=BA39,AY53,"xxx"),"xxx")</f>
        <v>#VALUE!</v>
      </c>
      <c r="DI47" s="239" t="e">
        <f>IF(AND(BA38&lt;&gt;0,AY38=AY40),IF(BA38=BA40,AY51,"xxx"),"xxx")</f>
        <v>#VALUE!</v>
      </c>
      <c r="DJ47" s="239" t="e">
        <f>IF(AND(BA38&lt;&gt;0,AY38=AY41),IF(BA38=BA41,AY49,"xxx"),"xxx")</f>
        <v>#VALUE!</v>
      </c>
      <c r="DK47" s="274"/>
      <c r="DL47" s="249" t="e">
        <f>SUM(DG47:DK47)</f>
        <v>#VALUE!</v>
      </c>
      <c r="DM47" s="237" t="s">
        <v>33</v>
      </c>
      <c r="DN47" s="273" t="s">
        <v>53</v>
      </c>
      <c r="DO47" s="239" t="e">
        <f>IF(AND(BA38&lt;&gt;0,AY38=AY39),IF(BA38=BA39,AZ53,"xxx"),"xxx")</f>
        <v>#VALUE!</v>
      </c>
      <c r="DP47" s="239" t="e">
        <f>IF(AND(BA38&lt;&gt;0,AY38=AY40),IF(BA38=BA40,BA51,"xxx"),"xxx")</f>
        <v>#VALUE!</v>
      </c>
      <c r="DQ47" s="239" t="e">
        <f>IF(AND(BA38&lt;&gt;0,AY38=AY41),IF(BA38=BA41,BB49,"xxx"),"xxx")</f>
        <v>#VALUE!</v>
      </c>
      <c r="DR47" s="274"/>
      <c r="DS47" s="249" t="e">
        <f>SUM(DN47:DR47)</f>
        <v>#VALUE!</v>
      </c>
      <c r="DT47" s="237" t="s">
        <v>33</v>
      </c>
      <c r="DU47" s="273" t="s">
        <v>53</v>
      </c>
      <c r="DV47" s="239" t="e">
        <f>IF(AND(CF47=CF48,BA38=BA39),BH53,"kkk")</f>
        <v>#VALUE!</v>
      </c>
      <c r="DW47" s="239" t="e">
        <f>IF(AND(CF47=CF49,BA38=BA40),BH51,"kkk")</f>
        <v>#VALUE!</v>
      </c>
      <c r="DX47" s="239" t="e">
        <f>IF(AND(CF47=CF50,BA38=BA41),BH49,"kkk")</f>
        <v>#VALUE!</v>
      </c>
      <c r="DY47" s="274"/>
      <c r="DZ47" s="249" t="e">
        <f>SUM(DU47:DY47)</f>
        <v>#VALUE!</v>
      </c>
      <c r="EA47" s="237" t="s">
        <v>33</v>
      </c>
      <c r="EB47" s="273" t="s">
        <v>53</v>
      </c>
      <c r="EC47" s="239" t="e">
        <f>IF(AND(CF47=CF48,BA38=BA39),BL53,"kkk")</f>
        <v>#VALUE!</v>
      </c>
      <c r="ED47" s="239" t="e">
        <f>IF(AND(CF47=CF49,BA38=BA40),BL51,"kkk")</f>
        <v>#VALUE!</v>
      </c>
      <c r="EE47" s="239" t="e">
        <f>IF(AND(CF47=CF50,BA38=BA41),BL49,"kkk")</f>
        <v>#VALUE!</v>
      </c>
      <c r="EF47" s="274"/>
      <c r="EG47" s="249" t="e">
        <f>SUM(EB47:EF47)</f>
        <v>#VALUE!</v>
      </c>
      <c r="EH47" s="237" t="s">
        <v>33</v>
      </c>
      <c r="EI47" s="273" t="s">
        <v>53</v>
      </c>
      <c r="EJ47" s="239" t="e">
        <f>IF(BD38&lt;&gt;"ùùù",IF(AND(CF47=CF48,BD38=BD39),BH53,"kkk"),"kkk")</f>
        <v>#VALUE!</v>
      </c>
      <c r="EK47" s="239" t="e">
        <f>IF(BD38&lt;&gt;"ùùù",IF(AND(CF47=CF49,BD38=BD40),BH51,"kkk"),"kkk")</f>
        <v>#VALUE!</v>
      </c>
      <c r="EL47" s="239" t="e">
        <f>IF(BD38&lt;&gt;"ùùù",IF(AND(CF47=CF50,BD38=BD41),BH49,"kkk"),"kkk")</f>
        <v>#VALUE!</v>
      </c>
      <c r="EM47" s="274"/>
      <c r="EN47" s="249" t="e">
        <f>SUM(EI47:EM47)</f>
        <v>#VALUE!</v>
      </c>
      <c r="EO47" s="237" t="s">
        <v>33</v>
      </c>
      <c r="EP47" s="273" t="s">
        <v>53</v>
      </c>
      <c r="EQ47" s="239" t="e">
        <f>IF(BD38&lt;&gt;"ùùù",IF(AND(CF47=CF48,BD38=BD39),BL53,"kkk"),"kkk")</f>
        <v>#VALUE!</v>
      </c>
      <c r="ER47" s="239" t="e">
        <f>IF(BD38&lt;&gt;"ùùù",IF(AND(CF47=CF49,BD38=BD40),BL51,"kkk"),"kkk")</f>
        <v>#VALUE!</v>
      </c>
      <c r="ES47" s="239" t="e">
        <f>IF(BD38&lt;&gt;"ùùù",IF(AND(CF47=CF50,BD38=BD41),BL49,"kkk"),"kkk")</f>
        <v>#VALUE!</v>
      </c>
      <c r="ET47" s="274"/>
      <c r="EU47" s="249" t="e">
        <f>SUM(EP47:ET47)</f>
        <v>#VALUE!</v>
      </c>
      <c r="EV47" s="237" t="s">
        <v>33</v>
      </c>
      <c r="EW47" s="273" t="s">
        <v>53</v>
      </c>
      <c r="EX47" s="239" t="e">
        <f>IF(AND(CF47=CF48,BC38=BC39),+AF53+AH53+AJ53+AL53+AN53,"xxx")</f>
        <v>#VALUE!</v>
      </c>
      <c r="EY47" s="239" t="e">
        <f>IF(AND(CF47=CF49,BC38=BC40),+AF51+AH51+AJ51+AL51+AN51,"xxx")</f>
        <v>#VALUE!</v>
      </c>
      <c r="EZ47" s="239" t="e">
        <f>IF(AND(CF47=CF50,BC38=BC41),+AF49+AH49+AJ49+AL49+AN49,"xxx")</f>
        <v>#VALUE!</v>
      </c>
      <c r="FA47" s="274"/>
      <c r="FB47" s="249" t="e">
        <f>SUM(EW47:FA47)</f>
        <v>#VALUE!</v>
      </c>
      <c r="FC47" s="237" t="s">
        <v>33</v>
      </c>
      <c r="FD47" s="273" t="s">
        <v>53</v>
      </c>
      <c r="FE47" s="239" t="e">
        <f>IF(AND(CF47=CF48,BC38=BC39),+AG53+AI53+AK53+AM53+AO53,"xxx")</f>
        <v>#VALUE!</v>
      </c>
      <c r="FF47" s="239" t="e">
        <f>IF(AND(CF47=CF49,BC38=BC40),+AG51+AI51+AK51+AM51+AO51,"xxx")</f>
        <v>#VALUE!</v>
      </c>
      <c r="FG47" s="239" t="e">
        <f>IF(AND(CF47=CF50,BC38=BC41),+AG49+AI49+AK49+AM49+AO49,"xxx")</f>
        <v>#VALUE!</v>
      </c>
      <c r="FH47" s="274"/>
      <c r="FI47" s="249" t="e">
        <f>SUM(FD47:FH47)</f>
        <v>#VALUE!</v>
      </c>
      <c r="FJ47" s="264"/>
      <c r="FK47" s="264"/>
      <c r="FL47" s="264"/>
      <c r="FM47" s="264"/>
    </row>
    <row r="48" spans="1:169" ht="27.95" customHeight="1" x14ac:dyDescent="0.2">
      <c r="A48" s="542">
        <v>2</v>
      </c>
      <c r="B48" s="543" t="s">
        <v>13</v>
      </c>
      <c r="C48" s="544">
        <v>4</v>
      </c>
      <c r="D48" s="545"/>
      <c r="E48" s="546">
        <f>E47+0.021</f>
        <v>6.3E-2</v>
      </c>
      <c r="F48" s="547">
        <f>F45</f>
        <v>0</v>
      </c>
      <c r="G48" s="817" t="str">
        <f t="shared" si="24"/>
        <v>GUIVARCH Leon</v>
      </c>
      <c r="H48" s="818"/>
      <c r="I48" s="818"/>
      <c r="J48" s="818"/>
      <c r="K48" s="818"/>
      <c r="L48" s="548" t="s">
        <v>9</v>
      </c>
      <c r="M48" s="818" t="str">
        <f t="shared" si="25"/>
        <v>GIRARD Loan</v>
      </c>
      <c r="N48" s="818"/>
      <c r="O48" s="818"/>
      <c r="P48" s="818"/>
      <c r="Q48" s="823"/>
      <c r="R48" s="590"/>
      <c r="S48" s="591"/>
      <c r="T48" s="591"/>
      <c r="U48" s="551"/>
      <c r="V48" s="551"/>
      <c r="W48" s="538"/>
      <c r="X48" s="553"/>
      <c r="Y48" s="554" t="str">
        <f>IF(AND(COUNTIF(($R48:$V48),"&gt;0")&gt;=2),1,IF(AND(COUNTIF(($R48:$V48),"&lt;0")&gt;=2),0,blanc))</f>
        <v xml:space="preserve"> </v>
      </c>
      <c r="Z48" s="558"/>
      <c r="AA48" s="559" t="str">
        <f>IF(AND(Y48=0),1,IF(AND(Y48=1),0,blanc))</f>
        <v xml:space="preserve"> </v>
      </c>
      <c r="AC48" s="896" t="s">
        <v>47</v>
      </c>
      <c r="AD48" s="897"/>
      <c r="AE48" s="341" t="s">
        <v>48</v>
      </c>
      <c r="AF48" s="342" t="s">
        <v>49</v>
      </c>
      <c r="AG48" s="239" t="s">
        <v>50</v>
      </c>
      <c r="AH48" s="239" t="s">
        <v>49</v>
      </c>
      <c r="AI48" s="239" t="s">
        <v>50</v>
      </c>
      <c r="AJ48" s="239" t="s">
        <v>49</v>
      </c>
      <c r="AK48" s="239" t="s">
        <v>50</v>
      </c>
      <c r="AL48" s="239" t="s">
        <v>49</v>
      </c>
      <c r="AM48" s="239" t="s">
        <v>50</v>
      </c>
      <c r="AN48" s="239" t="s">
        <v>49</v>
      </c>
      <c r="AO48" s="239" t="s">
        <v>50</v>
      </c>
      <c r="AP48" s="279" t="s">
        <v>33</v>
      </c>
      <c r="AQ48" s="239" t="s">
        <v>35</v>
      </c>
      <c r="AR48" s="239" t="s">
        <v>36</v>
      </c>
      <c r="AS48" s="239" t="s">
        <v>61</v>
      </c>
      <c r="AT48" s="280"/>
      <c r="AU48" s="252"/>
      <c r="AV48" s="247"/>
      <c r="AW48" s="247"/>
      <c r="AX48" s="247"/>
      <c r="AY48" s="281" t="s">
        <v>33</v>
      </c>
      <c r="AZ48" s="239" t="s">
        <v>35</v>
      </c>
      <c r="BA48" s="239" t="s">
        <v>36</v>
      </c>
      <c r="BB48" s="239" t="s">
        <v>61</v>
      </c>
      <c r="BC48" s="239">
        <v>1</v>
      </c>
      <c r="BD48" s="239">
        <v>2</v>
      </c>
      <c r="BE48" s="239">
        <v>3</v>
      </c>
      <c r="BF48" s="239">
        <v>4</v>
      </c>
      <c r="BG48" s="239">
        <v>5</v>
      </c>
      <c r="BH48" s="239" t="s">
        <v>40</v>
      </c>
      <c r="BI48" s="239" t="s">
        <v>51</v>
      </c>
      <c r="BJ48" s="239"/>
      <c r="BK48" s="239"/>
      <c r="BL48" s="239" t="s">
        <v>70</v>
      </c>
      <c r="BM48" s="239" t="s">
        <v>40</v>
      </c>
      <c r="BN48" s="239"/>
      <c r="BO48" s="282"/>
      <c r="BQ48" s="268"/>
      <c r="BR48" s="248"/>
      <c r="BS48" s="237" t="str">
        <f>AE39</f>
        <v>B</v>
      </c>
      <c r="BT48" s="237" t="e">
        <f>BW47</f>
        <v>#VALUE!</v>
      </c>
      <c r="BU48" s="237" t="str">
        <f>BV47</f>
        <v>M</v>
      </c>
      <c r="BV48" s="269"/>
      <c r="BW48" s="269"/>
      <c r="BX48" s="237" t="str">
        <f>BH50</f>
        <v>M</v>
      </c>
      <c r="BY48" s="237" t="e">
        <f>BL50</f>
        <v>#VALUE!</v>
      </c>
      <c r="BZ48" s="237" t="str">
        <f>BH52</f>
        <v>M</v>
      </c>
      <c r="CA48" s="270" t="e">
        <f>BL52</f>
        <v>#VALUE!</v>
      </c>
      <c r="CB48" s="248"/>
      <c r="CC48" s="248"/>
      <c r="CD48" s="271"/>
      <c r="CE48" s="271"/>
      <c r="CF48" s="249" t="e">
        <f t="shared" si="26"/>
        <v>#VALUE!</v>
      </c>
      <c r="CG48" s="242" t="e">
        <f t="shared" si="27"/>
        <v>#VALUE!</v>
      </c>
      <c r="CH48" s="237" t="e">
        <f>IF(BT48&gt;BU48,1,0)</f>
        <v>#VALUE!</v>
      </c>
      <c r="CI48" s="237" t="e">
        <f>IF(BX48&gt;BY48,1,0)</f>
        <v>#VALUE!</v>
      </c>
      <c r="CJ48" s="237" t="e">
        <f>IF(BZ48&gt;CA48,1,0)</f>
        <v>#VALUE!</v>
      </c>
      <c r="CK48" s="237">
        <f>IF(CB48&gt;CC48,1,0)</f>
        <v>0</v>
      </c>
      <c r="CL48" s="237">
        <f>IF(CD48&gt;CE48,1,0)</f>
        <v>0</v>
      </c>
      <c r="CM48" s="272" t="e">
        <f>IF(BT48&lt;BU48,1,0)</f>
        <v>#VALUE!</v>
      </c>
      <c r="CN48" s="237" t="e">
        <f>IF(BX48&lt;BY48,1,0)</f>
        <v>#VALUE!</v>
      </c>
      <c r="CO48" s="237" t="e">
        <f>IF(BZ48&lt;CA48,1,0)</f>
        <v>#VALUE!</v>
      </c>
      <c r="CP48" s="237">
        <f>IF(CB48&lt;CC48,1,0)</f>
        <v>0</v>
      </c>
      <c r="CQ48" s="237">
        <f>IF(CD48&lt;CE48,1,0)</f>
        <v>0</v>
      </c>
      <c r="CR48" s="237" t="s">
        <v>35</v>
      </c>
      <c r="CS48" s="239" t="e">
        <f>IF(CF48=CF47,AZ53,"xxx")</f>
        <v>#VALUE!</v>
      </c>
      <c r="CT48" s="273" t="s">
        <v>53</v>
      </c>
      <c r="CU48" s="239" t="e">
        <f>IF(CF48=CF49,AZ50,"xxx")</f>
        <v>#VALUE!</v>
      </c>
      <c r="CV48" s="239" t="e">
        <f>IF(CF48=CF50,AZ52,"xxx")</f>
        <v>#VALUE!</v>
      </c>
      <c r="CW48" s="274"/>
      <c r="CX48" s="249" t="e">
        <f>SUM(CS48:CW48)</f>
        <v>#VALUE!</v>
      </c>
      <c r="CY48" s="237" t="s">
        <v>35</v>
      </c>
      <c r="CZ48" s="239" t="e">
        <f>IF(CF48=CF47,AY53,"xxx")</f>
        <v>#VALUE!</v>
      </c>
      <c r="DA48" s="273" t="s">
        <v>53</v>
      </c>
      <c r="DB48" s="239" t="e">
        <f>IF(CF48=CF49,BA50,"xxx")</f>
        <v>#VALUE!</v>
      </c>
      <c r="DC48" s="239" t="e">
        <f>IF(CF48=CF50,BB52,"xxx")</f>
        <v>#VALUE!</v>
      </c>
      <c r="DD48" s="274"/>
      <c r="DE48" s="249" t="e">
        <f>SUM(CZ48:DD48)</f>
        <v>#VALUE!</v>
      </c>
      <c r="DF48" s="237" t="s">
        <v>35</v>
      </c>
      <c r="DG48" s="239" t="e">
        <f>IF(AND(BA39&lt;&gt;0,AY39=AY38),IF(BA39=BA38,AZ53,"xxx"),"xxx")</f>
        <v>#VALUE!</v>
      </c>
      <c r="DH48" s="273" t="s">
        <v>53</v>
      </c>
      <c r="DI48" s="239" t="e">
        <f>IF(AND(BA39&lt;&gt;0,AY39=AY40),IF(BA39=BA40,AZ50,"xxx"),"xxx")</f>
        <v>#VALUE!</v>
      </c>
      <c r="DJ48" s="239" t="e">
        <f>IF(AND(BA39&lt;&gt;0,AY39=AY41),IF(BA39=BA41,AZ52,"xxx"),"xxx")</f>
        <v>#VALUE!</v>
      </c>
      <c r="DK48" s="274"/>
      <c r="DL48" s="249" t="e">
        <f>SUM(DG48:DK48)</f>
        <v>#VALUE!</v>
      </c>
      <c r="DM48" s="237" t="s">
        <v>35</v>
      </c>
      <c r="DN48" s="239" t="e">
        <f>IF(AND(BA39&lt;&gt;0,AY39=AY38),IF(BA39=BA38,AY53,"xxx"),"xxx")</f>
        <v>#VALUE!</v>
      </c>
      <c r="DO48" s="273" t="s">
        <v>53</v>
      </c>
      <c r="DP48" s="239" t="e">
        <f>IF(AND(BA39&lt;&gt;0,AY39=AY40),IF(BA39=BA40,BA50,"xxx"),"xxx")</f>
        <v>#VALUE!</v>
      </c>
      <c r="DQ48" s="239" t="e">
        <f>IF(AND(BA39&lt;&gt;0,AY39=AY41),IF(BA39=BA41,BB52,"xxx"),"xxx")</f>
        <v>#VALUE!</v>
      </c>
      <c r="DR48" s="274"/>
      <c r="DS48" s="249" t="e">
        <f>SUM(DN48:DR48)</f>
        <v>#VALUE!</v>
      </c>
      <c r="DT48" s="237" t="s">
        <v>35</v>
      </c>
      <c r="DU48" s="239" t="e">
        <f>IF(AND(CF48=CF47,BA39=BA38),BL53,"kkk")</f>
        <v>#VALUE!</v>
      </c>
      <c r="DV48" s="273" t="s">
        <v>53</v>
      </c>
      <c r="DW48" s="239" t="e">
        <f>IF(AND(CF48=CF49,BA39=BA40),BH50,"kkk")</f>
        <v>#VALUE!</v>
      </c>
      <c r="DX48" s="239" t="e">
        <f>IF(AND(CF48=CF50,BA39=BA41),BH52,"kkk")</f>
        <v>#VALUE!</v>
      </c>
      <c r="DY48" s="274"/>
      <c r="DZ48" s="249" t="e">
        <f>SUM(DU48:DY48)</f>
        <v>#VALUE!</v>
      </c>
      <c r="EA48" s="237" t="s">
        <v>35</v>
      </c>
      <c r="EB48" s="239" t="e">
        <f>IF(AND(CF48=CF47,BA39=BA38),BH53,"kkk")</f>
        <v>#VALUE!</v>
      </c>
      <c r="EC48" s="273" t="s">
        <v>53</v>
      </c>
      <c r="ED48" s="239" t="e">
        <f>IF(AND(CF48=CF49,BA39=BA40),BL50,"kkk")</f>
        <v>#VALUE!</v>
      </c>
      <c r="EE48" s="239" t="e">
        <f>IF(AND(CF48=CF50,BA39=BA41),BL52,"kkk")</f>
        <v>#VALUE!</v>
      </c>
      <c r="EF48" s="274"/>
      <c r="EG48" s="249" t="e">
        <f>SUM(EB48:EF48)</f>
        <v>#VALUE!</v>
      </c>
      <c r="EH48" s="237" t="s">
        <v>35</v>
      </c>
      <c r="EI48" s="239" t="e">
        <f>IF(BD39&lt;&gt;"ùùù",IF(AND(CF48=CF47,BD39=BD38),BL53,"kkk"),"kkk")</f>
        <v>#VALUE!</v>
      </c>
      <c r="EJ48" s="273" t="s">
        <v>53</v>
      </c>
      <c r="EK48" s="239" t="e">
        <f>IF(BD39&lt;&gt;"ùùù",IF(AND(CF48=CF49,BD39=BD40),BH50,"kkk"),"kkk")</f>
        <v>#VALUE!</v>
      </c>
      <c r="EL48" s="239" t="e">
        <f>IF(BD39&lt;&gt;"ùùù",IF(AND(CF48=CF50,BD39=BD41),BH52,"kkk"),"kkk")</f>
        <v>#VALUE!</v>
      </c>
      <c r="EM48" s="274"/>
      <c r="EN48" s="249" t="e">
        <f>SUM(EI48:EM48)</f>
        <v>#VALUE!</v>
      </c>
      <c r="EO48" s="237" t="s">
        <v>35</v>
      </c>
      <c r="EP48" s="239" t="e">
        <f>IF(BD39&lt;&gt;"ùùù",IF(AND(CF48=CF47,BD39=BD38),BH53,"kkk"),"kkk")</f>
        <v>#VALUE!</v>
      </c>
      <c r="EQ48" s="273" t="s">
        <v>53</v>
      </c>
      <c r="ER48" s="239" t="e">
        <f>IF(BD39&lt;&gt;"ùùù",IF(AND(CF48=CF49,BD39=BD40),BL50,"kkk"),"kkk")</f>
        <v>#VALUE!</v>
      </c>
      <c r="ES48" s="239" t="e">
        <f>IF(BD39&lt;&gt;"ùùù",IF(AND(CF48=CF50,BD39=BD41),BL52,"kkk"),"kkk")</f>
        <v>#VALUE!</v>
      </c>
      <c r="ET48" s="274"/>
      <c r="EU48" s="249" t="e">
        <f>SUM(EP48:ET48)</f>
        <v>#VALUE!</v>
      </c>
      <c r="EV48" s="237" t="s">
        <v>35</v>
      </c>
      <c r="EW48" s="239" t="e">
        <f>IF(AND(CF48=CF47,BC39=BC38),+AG53+AI53+AK53+AM53+AO53,"xxx")</f>
        <v>#VALUE!</v>
      </c>
      <c r="EX48" s="273" t="s">
        <v>53</v>
      </c>
      <c r="EY48" s="239" t="e">
        <f>IF(AND(CF48=CF49,BC39=BC40),+AF50+AH50+AJ50+AL50+AN50,"xxx")</f>
        <v>#VALUE!</v>
      </c>
      <c r="EZ48" s="239" t="e">
        <f>IF(AND(CF48=CF50,BC39=BC41),+AF52+AH52+AJ52+AL52+AN52,"xxx")</f>
        <v>#VALUE!</v>
      </c>
      <c r="FA48" s="274"/>
      <c r="FB48" s="249" t="e">
        <f>SUM(EW48:FA48)</f>
        <v>#VALUE!</v>
      </c>
      <c r="FC48" s="237" t="s">
        <v>35</v>
      </c>
      <c r="FD48" s="239" t="e">
        <f>IF(AND(CF48=CF47,BC39=BC38),+AF53+AH53+AJ53+AL53+AN53,"xxx")</f>
        <v>#VALUE!</v>
      </c>
      <c r="FE48" s="273" t="s">
        <v>53</v>
      </c>
      <c r="FF48" s="239" t="e">
        <f>IF(AND(CF48=CF49,BC39=BC40),+AG50+AI50+AK50+AM50+AO50,"xxx")</f>
        <v>#VALUE!</v>
      </c>
      <c r="FG48" s="239" t="e">
        <f>IF(AND(CF48=CF50,BC39=BC41),+AG52+AI52+AK52+AM52+AO52,"xxx")</f>
        <v>#VALUE!</v>
      </c>
      <c r="FH48" s="274"/>
      <c r="FI48" s="249" t="e">
        <f>SUM(FD48:FH48)</f>
        <v>#VALUE!</v>
      </c>
      <c r="FJ48" s="247"/>
      <c r="FK48" s="247"/>
      <c r="FL48" s="247"/>
      <c r="FM48" s="247"/>
    </row>
    <row r="49" spans="1:169" ht="27.95" customHeight="1" x14ac:dyDescent="0.2">
      <c r="A49" s="542">
        <v>1</v>
      </c>
      <c r="B49" s="543" t="s">
        <v>13</v>
      </c>
      <c r="C49" s="544">
        <v>2</v>
      </c>
      <c r="D49" s="545" t="str">
        <f>D45</f>
        <v>Sa</v>
      </c>
      <c r="E49" s="546">
        <f>E48+0.021</f>
        <v>8.4000000000000005E-2</v>
      </c>
      <c r="F49" s="547">
        <f>F45</f>
        <v>0</v>
      </c>
      <c r="G49" s="817" t="str">
        <f t="shared" si="24"/>
        <v>ESVAN Corentin</v>
      </c>
      <c r="H49" s="818"/>
      <c r="I49" s="818"/>
      <c r="J49" s="818"/>
      <c r="K49" s="818"/>
      <c r="L49" s="548" t="s">
        <v>9</v>
      </c>
      <c r="M49" s="818" t="str">
        <f t="shared" si="25"/>
        <v>GUIVARCH Leon</v>
      </c>
      <c r="N49" s="818"/>
      <c r="O49" s="818"/>
      <c r="P49" s="818"/>
      <c r="Q49" s="823"/>
      <c r="R49" s="556"/>
      <c r="S49" s="551"/>
      <c r="T49" s="551"/>
      <c r="U49" s="551"/>
      <c r="V49" s="551"/>
      <c r="W49" s="538"/>
      <c r="X49" s="557" t="str">
        <f>IF(AND(COUNTIF(($R49:$V49),"&gt;0")&gt;=2),1,IF(AND(COUNTIF(($R49:$V49),"&lt;0")&gt;=2),0,blanc))</f>
        <v xml:space="preserve"> </v>
      </c>
      <c r="Y49" s="554" t="str">
        <f>IF(AND(X49=0),1,IF(AND(X49=1),0,blanc))</f>
        <v xml:space="preserve"> </v>
      </c>
      <c r="Z49" s="558"/>
      <c r="AA49" s="555"/>
      <c r="AC49" s="283">
        <f>IF(AF38&lt;&gt;" ",AF38," ")</f>
        <v>1</v>
      </c>
      <c r="AD49" s="284">
        <f>IF(AF41&lt;&gt;" ",AF41," ")</f>
        <v>4</v>
      </c>
      <c r="AE49" s="285" t="str">
        <f t="shared" ref="AE49:AE54" si="28">IF(AK49&lt;&gt;0,IF(BI49&lt;0,AD49,AC49),IF(BI49=2,AC49,IF(BI49=-2,AD49," ")))</f>
        <v xml:space="preserve"> </v>
      </c>
      <c r="AF49" s="286">
        <f t="shared" ref="AF49:AF54" si="29">IF(R45=0,0,IF(R45&lt;0,-R45,IF(R45&lt;10,11,R45+2)))</f>
        <v>0</v>
      </c>
      <c r="AG49" s="287">
        <f t="shared" ref="AG49:AG54" si="30">IF(R45=0,0,IF(R45&gt;0,R45,IF(R45&gt;-10,11,-R45+2)))</f>
        <v>0</v>
      </c>
      <c r="AH49" s="284">
        <f t="shared" ref="AH49:AH54" si="31">IF(S45=0,0,IF(S45&lt;0,-S45,IF(S45&lt;10,11,S45+2)))</f>
        <v>0</v>
      </c>
      <c r="AI49" s="287">
        <f t="shared" ref="AI49:AI54" si="32">IF(S45=0,0,IF(S45&gt;0,S45,IF(S45&gt;-10,11,-S45+2)))</f>
        <v>0</v>
      </c>
      <c r="AJ49" s="288">
        <f t="shared" ref="AJ49:AJ54" si="33">IF(T45=0,0,IF(T45&lt;0,-T45,IF(T45&lt;10,11,T45+2)))</f>
        <v>0</v>
      </c>
      <c r="AK49" s="287">
        <f t="shared" ref="AK49:AK54" si="34">IF(T45=0,0,IF(T45&gt;0,T45,IF(T45&gt;-10,11,-T45+2)))</f>
        <v>0</v>
      </c>
      <c r="AL49" s="288">
        <f t="shared" ref="AL49:AL54" si="35">IF(U45=0,0,IF(U45&lt;0,-U45,IF(U45&lt;10,11,U45+2)))</f>
        <v>0</v>
      </c>
      <c r="AM49" s="287">
        <f t="shared" ref="AM49:AM54" si="36">IF(U45=0,0,IF(U45&gt;0,U45,IF(U45&gt;-10,11,-U45+2)))</f>
        <v>0</v>
      </c>
      <c r="AN49" s="288">
        <f t="shared" ref="AN49:AN54" si="37">IF(V45=0,0,IF(V45&lt;0,-V45,IF(V45&lt;10,11,V45+2)))</f>
        <v>0</v>
      </c>
      <c r="AO49" s="289">
        <f t="shared" ref="AO49:AO54" si="38">IF(V45=0,0,IF(V45&gt;0,V45,IF(V45&gt;-10,11,-V45+2)))</f>
        <v>0</v>
      </c>
      <c r="AP49" s="290">
        <f>IF(BI49&gt;0,1,0)</f>
        <v>0</v>
      </c>
      <c r="AR49" s="291"/>
      <c r="AS49" s="290">
        <f>IF(BI49&lt;0,1,0)</f>
        <v>0</v>
      </c>
      <c r="AT49" s="292"/>
      <c r="AU49" s="252"/>
      <c r="AV49" s="236"/>
      <c r="AW49" s="236"/>
      <c r="AX49" s="236"/>
      <c r="AY49" s="293">
        <f>IF(BI49&gt;0,1,0)</f>
        <v>0</v>
      </c>
      <c r="BA49" s="294"/>
      <c r="BB49" s="295">
        <f>IF(BI49&lt;0,1,0)</f>
        <v>0</v>
      </c>
      <c r="BC49" s="296">
        <f t="shared" ref="BC49:BC54" si="39">IF(AF49&lt;&gt;0,IF(AF49&gt;AG49,1,-1),0)</f>
        <v>0</v>
      </c>
      <c r="BD49" s="296">
        <f t="shared" ref="BD49:BD54" si="40">IF(AH49&lt;&gt;0,IF(AH49&gt;AI49,1,-1),0)</f>
        <v>0</v>
      </c>
      <c r="BE49" s="296">
        <f t="shared" ref="BE49:BE54" si="41">IF(AJ49&lt;&gt;0,IF(AJ49&gt;AK49,1,-1),0)</f>
        <v>0</v>
      </c>
      <c r="BF49" s="296">
        <f t="shared" ref="BF49:BF54" si="42">IF(AL49&lt;&gt;0,IF(AL49&gt;AM49,1,-1),0)</f>
        <v>0</v>
      </c>
      <c r="BG49" s="296">
        <f t="shared" ref="BG49:BG54" si="43">IF(AN49&lt;&gt;0,IF(AN49&gt;AO49,1,-1),0)</f>
        <v>0</v>
      </c>
      <c r="BH49" s="296" t="str">
        <f t="shared" ref="BH49:BH54" si="44">IF(BM49=0,"M",IF(BI49&gt;0,3,IF(BI49=0,"N",3+BI49)))</f>
        <v>M</v>
      </c>
      <c r="BI49" s="296">
        <f t="shared" ref="BI49:BI54" si="45">SUM(BC49:BG49)</f>
        <v>0</v>
      </c>
      <c r="BJ49" s="296"/>
      <c r="BK49" s="296"/>
      <c r="BL49" s="296" t="e">
        <f t="shared" ref="BL49:BL54" si="46">BM49-BH49</f>
        <v>#VALUE!</v>
      </c>
      <c r="BM49" s="296">
        <f t="shared" ref="BM49:BM54" si="47">ABS(BC49)+ABS(BD49)+ABS(BE49)+ABS(BF49)+ABS(BG49)</f>
        <v>0</v>
      </c>
      <c r="BN49" s="296"/>
      <c r="BO49" s="297"/>
      <c r="BQ49" s="268"/>
      <c r="BR49" s="248"/>
      <c r="BS49" s="237" t="str">
        <f>AE40</f>
        <v>C</v>
      </c>
      <c r="BT49" s="237" t="e">
        <f>BY47</f>
        <v>#VALUE!</v>
      </c>
      <c r="BU49" s="237" t="str">
        <f>BX47</f>
        <v>M</v>
      </c>
      <c r="BV49" s="237" t="e">
        <f>BY48</f>
        <v>#VALUE!</v>
      </c>
      <c r="BW49" s="237" t="str">
        <f>BX48</f>
        <v>M</v>
      </c>
      <c r="BX49" s="269"/>
      <c r="BY49" s="269"/>
      <c r="BZ49" s="237" t="str">
        <f>BH54</f>
        <v>M</v>
      </c>
      <c r="CA49" s="270" t="e">
        <f>BL54</f>
        <v>#VALUE!</v>
      </c>
      <c r="CB49" s="248"/>
      <c r="CC49" s="248"/>
      <c r="CD49" s="271"/>
      <c r="CE49" s="271"/>
      <c r="CF49" s="249" t="e">
        <f t="shared" si="26"/>
        <v>#VALUE!</v>
      </c>
      <c r="CG49" s="242" t="e">
        <f t="shared" si="27"/>
        <v>#VALUE!</v>
      </c>
      <c r="CH49" s="237" t="e">
        <f>IF(BT49&gt;BU49,1,0)</f>
        <v>#VALUE!</v>
      </c>
      <c r="CI49" s="237" t="e">
        <f>IF(BV49&gt;BW49,1,0)</f>
        <v>#VALUE!</v>
      </c>
      <c r="CJ49" s="237" t="e">
        <f>IF(BZ49&gt;CA49,1,0)</f>
        <v>#VALUE!</v>
      </c>
      <c r="CK49" s="237">
        <f>IF(CB49&gt;CC49,1,0)</f>
        <v>0</v>
      </c>
      <c r="CL49" s="237">
        <f>IF(CD49&gt;CE49,1,0)</f>
        <v>0</v>
      </c>
      <c r="CM49" s="272" t="e">
        <f>IF(BT49&lt;BU49,1,0)</f>
        <v>#VALUE!</v>
      </c>
      <c r="CN49" s="237" t="e">
        <f>IF(BV49&lt;BW49,1,0)</f>
        <v>#VALUE!</v>
      </c>
      <c r="CO49" s="237" t="e">
        <f>IF(BZ49&lt;CA49,1,0)</f>
        <v>#VALUE!</v>
      </c>
      <c r="CP49" s="237">
        <f>IF(CB49&lt;CC49,1,0)</f>
        <v>0</v>
      </c>
      <c r="CQ49" s="237">
        <f>IF(CD49&lt;CE49,1,0)</f>
        <v>0</v>
      </c>
      <c r="CR49" s="237" t="s">
        <v>36</v>
      </c>
      <c r="CS49" s="239" t="e">
        <f>IF(CF49=CF47,BA51,"xxx")</f>
        <v>#VALUE!</v>
      </c>
      <c r="CT49" s="239" t="e">
        <f>IF(CF49=CF48,BA50,"xxx")</f>
        <v>#VALUE!</v>
      </c>
      <c r="CU49" s="273" t="s">
        <v>53</v>
      </c>
      <c r="CV49" s="239" t="e">
        <f>IF(CF49=CF50,BA54,"xxx")</f>
        <v>#VALUE!</v>
      </c>
      <c r="CW49" s="274"/>
      <c r="CX49" s="249" t="e">
        <f>SUM(CS49:CW49)</f>
        <v>#VALUE!</v>
      </c>
      <c r="CY49" s="237" t="s">
        <v>36</v>
      </c>
      <c r="CZ49" s="239" t="e">
        <f>IF(CF49=CF47,AY51,"xxx")</f>
        <v>#VALUE!</v>
      </c>
      <c r="DA49" s="239" t="e">
        <f>IF(CF49=CF48,AZ50,"xxx")</f>
        <v>#VALUE!</v>
      </c>
      <c r="DB49" s="273" t="s">
        <v>53</v>
      </c>
      <c r="DC49" s="239" t="e">
        <f>IF(CF49=CF50,BB54,"xxx")</f>
        <v>#VALUE!</v>
      </c>
      <c r="DD49" s="274"/>
      <c r="DE49" s="249" t="e">
        <f>SUM(CZ49:DD49)</f>
        <v>#VALUE!</v>
      </c>
      <c r="DF49" s="237" t="s">
        <v>36</v>
      </c>
      <c r="DG49" s="239" t="e">
        <f>IF(AND(BA40&lt;&gt;0,AY40=AY38),IF(BA40=BA38,BA51,"xxx"),"xxx")</f>
        <v>#VALUE!</v>
      </c>
      <c r="DH49" s="239" t="e">
        <f>IF(AND(BA40&lt;&gt;0,AY40=AY39),IF(BA40=BA39,BA50,"xxx"),"xxx")</f>
        <v>#VALUE!</v>
      </c>
      <c r="DI49" s="273" t="s">
        <v>53</v>
      </c>
      <c r="DJ49" s="239" t="e">
        <f>IF(AND(BA40&lt;&gt;0,AY40=AY41),IF(BA40=BA41,BA54,"xxx"),"xxx")</f>
        <v>#VALUE!</v>
      </c>
      <c r="DK49" s="274"/>
      <c r="DL49" s="249" t="e">
        <f>SUM(DG49:DK49)</f>
        <v>#VALUE!</v>
      </c>
      <c r="DM49" s="237" t="s">
        <v>36</v>
      </c>
      <c r="DN49" s="239" t="e">
        <f>IF(AND(BA40&lt;&gt;0,AY40=AY38),IF(BA40=BA38,AY51,"xxx"),"xxx")</f>
        <v>#VALUE!</v>
      </c>
      <c r="DO49" s="239" t="e">
        <f>IF(AND(BA40&lt;&gt;0,AY40=AY39),IF(BA40=BA39,AZ50,"xxx"),"xxx")</f>
        <v>#VALUE!</v>
      </c>
      <c r="DP49" s="273" t="s">
        <v>53</v>
      </c>
      <c r="DQ49" s="239" t="e">
        <f>IF(AND(BA40&lt;&gt;0,AY40=AY41),IF(BA40=BA41,BB54,"xxx"),"xxx")</f>
        <v>#VALUE!</v>
      </c>
      <c r="DR49" s="274"/>
      <c r="DS49" s="249" t="e">
        <f>SUM(DN49:DR49)</f>
        <v>#VALUE!</v>
      </c>
      <c r="DT49" s="237" t="s">
        <v>36</v>
      </c>
      <c r="DU49" s="239" t="e">
        <f>IF(AND(CF49=CF47,BA40=BA38),BL51,"kkk")</f>
        <v>#VALUE!</v>
      </c>
      <c r="DV49" s="239" t="e">
        <f>IF(AND(CF49=CF48,BA40=BA39),BL50,"kkk")</f>
        <v>#VALUE!</v>
      </c>
      <c r="DW49" s="273" t="s">
        <v>53</v>
      </c>
      <c r="DX49" s="239" t="e">
        <f>IF(AND(CF49=CF50,BA40=BA41),BH54,"kkk")</f>
        <v>#VALUE!</v>
      </c>
      <c r="DY49" s="274"/>
      <c r="DZ49" s="249" t="e">
        <f>SUM(DU49:DY49)</f>
        <v>#VALUE!</v>
      </c>
      <c r="EA49" s="237" t="s">
        <v>36</v>
      </c>
      <c r="EB49" s="239" t="e">
        <f>IF(AND(CF49=CF47,BA40=BA38),BH51,"kkk")</f>
        <v>#VALUE!</v>
      </c>
      <c r="EC49" s="239" t="e">
        <f>IF(AND(CF49=CF48,BA40=BA39),BH50,"kkk")</f>
        <v>#VALUE!</v>
      </c>
      <c r="ED49" s="273" t="s">
        <v>53</v>
      </c>
      <c r="EE49" s="239" t="e">
        <f>IF(AND(CF49=CF50,BA40=BA41),BL54,"kkk")</f>
        <v>#VALUE!</v>
      </c>
      <c r="EF49" s="274"/>
      <c r="EG49" s="249" t="e">
        <f>SUM(EB49:EF49)</f>
        <v>#VALUE!</v>
      </c>
      <c r="EH49" s="237" t="s">
        <v>36</v>
      </c>
      <c r="EI49" s="239" t="e">
        <f>IF(BD40&lt;&gt;"ùùù",IF(AND(CF49=CF47,BD40=BD38),BL51,"kkk"),"kkk")</f>
        <v>#VALUE!</v>
      </c>
      <c r="EJ49" s="239" t="e">
        <f>IF(BD40&lt;&gt;"ùùù",IF(AND(CF49=CF48,BD40=BD39),BL50,"kkk"),"kkk")</f>
        <v>#VALUE!</v>
      </c>
      <c r="EK49" s="273" t="s">
        <v>53</v>
      </c>
      <c r="EL49" s="239" t="e">
        <f>IF(BD40&lt;&gt;"ùùù",IF(AND(CF49=CF50,BD40=BD41),BH54,"kkk"),"kkk")</f>
        <v>#VALUE!</v>
      </c>
      <c r="EM49" s="274"/>
      <c r="EN49" s="249" t="e">
        <f>SUM(EI49:EM49)</f>
        <v>#VALUE!</v>
      </c>
      <c r="EO49" s="237" t="s">
        <v>36</v>
      </c>
      <c r="EP49" s="239" t="e">
        <f>IF(BD40&lt;&gt;"ùùù",IF(AND(CF49=CF47,BD40=BD38),BH51,"kkk"),"kkk")</f>
        <v>#VALUE!</v>
      </c>
      <c r="EQ49" s="239" t="e">
        <f>IF(BD40&lt;&gt;"ùùù",IF(AND(CF49=CF48,BD40=BD39),BH50,"kkk"),"kkk")</f>
        <v>#VALUE!</v>
      </c>
      <c r="ER49" s="273" t="s">
        <v>53</v>
      </c>
      <c r="ES49" s="239" t="e">
        <f>IF(BD40&lt;&gt;"ùùù",IF(AND(CF49=CF50,BD40=BD41),BL54,"kkk"),"kkk")</f>
        <v>#VALUE!</v>
      </c>
      <c r="ET49" s="274"/>
      <c r="EU49" s="249" t="e">
        <f>SUM(EP49:ET49)</f>
        <v>#VALUE!</v>
      </c>
      <c r="EV49" s="237" t="s">
        <v>36</v>
      </c>
      <c r="EW49" s="239" t="e">
        <f>IF(AND(CF49=CF47,BC40=BC38),+AG51+AI51+AK51+AM51+AO51,"xxx")</f>
        <v>#VALUE!</v>
      </c>
      <c r="EX49" s="239" t="e">
        <f>IF(AND(CF49=CF48,BC40=BC39),+AG50+AI50+AK50+AM50+AO50,"xxx")</f>
        <v>#VALUE!</v>
      </c>
      <c r="EY49" s="273" t="s">
        <v>53</v>
      </c>
      <c r="EZ49" s="239" t="e">
        <f>IF(AND(CF49=CF50,BC40=BC41),+AF54+AH54+AJ54+AL54+AN54,"xxx")</f>
        <v>#VALUE!</v>
      </c>
      <c r="FA49" s="274"/>
      <c r="FB49" s="249" t="e">
        <f>SUM(EW49:FA49)</f>
        <v>#VALUE!</v>
      </c>
      <c r="FC49" s="237" t="s">
        <v>36</v>
      </c>
      <c r="FD49" s="239" t="e">
        <f>IF(AND(CF49=CF47,BC40=BC38),+AF51+AH51+AJ51+AL51+AN51,"xxx")</f>
        <v>#VALUE!</v>
      </c>
      <c r="FE49" s="239" t="e">
        <f>IF(AND(CF49=CF48,BC40=BC39),+AF50+AH50+AJ50+AL50+AN50,"xxx")</f>
        <v>#VALUE!</v>
      </c>
      <c r="FF49" s="273" t="s">
        <v>53</v>
      </c>
      <c r="FG49" s="239" t="e">
        <f>IF(AND(CF49=CF50,BC40=BC41),+AG54+AI54+AK54+AM54+AO54,"xxx")</f>
        <v>#VALUE!</v>
      </c>
      <c r="FH49" s="274"/>
      <c r="FI49" s="249" t="e">
        <f>SUM(FD49:FH49)</f>
        <v>#VALUE!</v>
      </c>
      <c r="FJ49" s="236"/>
      <c r="FK49" s="236"/>
      <c r="FL49" s="236"/>
      <c r="FM49" s="236"/>
    </row>
    <row r="50" spans="1:169" ht="27.95" customHeight="1" thickBot="1" x14ac:dyDescent="0.25">
      <c r="A50" s="525">
        <v>3</v>
      </c>
      <c r="B50" s="560" t="s">
        <v>13</v>
      </c>
      <c r="C50" s="561">
        <v>4</v>
      </c>
      <c r="D50" s="562"/>
      <c r="E50" s="563">
        <f>E49+0.0205</f>
        <v>0.10450000000000001</v>
      </c>
      <c r="F50" s="564">
        <f>F45</f>
        <v>0</v>
      </c>
      <c r="G50" s="819" t="str">
        <f t="shared" si="24"/>
        <v>Baugard Nathan</v>
      </c>
      <c r="H50" s="820"/>
      <c r="I50" s="820"/>
      <c r="J50" s="820"/>
      <c r="K50" s="820"/>
      <c r="L50" s="517" t="s">
        <v>9</v>
      </c>
      <c r="M50" s="820" t="str">
        <f t="shared" si="25"/>
        <v>GIRARD Loan</v>
      </c>
      <c r="N50" s="820"/>
      <c r="O50" s="820"/>
      <c r="P50" s="820"/>
      <c r="Q50" s="824"/>
      <c r="R50" s="592"/>
      <c r="S50" s="593"/>
      <c r="T50" s="593"/>
      <c r="U50" s="594"/>
      <c r="V50" s="594"/>
      <c r="W50" s="538"/>
      <c r="X50" s="568"/>
      <c r="Y50" s="569"/>
      <c r="Z50" s="570" t="str">
        <f>IF(AND(COUNTIF(($R50:$V50),"&gt;0")&gt;=2),1,IF(AND(COUNTIF(($R50:$V50),"&lt;0")&gt;=2),0,blanc))</f>
        <v xml:space="preserve"> </v>
      </c>
      <c r="AA50" s="571" t="str">
        <f>IF(AND(Z50=0),1,IF(AND(Z50=1),0,blanc))</f>
        <v xml:space="preserve"> </v>
      </c>
      <c r="AC50" s="298">
        <f>IF(AF39&lt;&gt;" ",AF39," ")</f>
        <v>2</v>
      </c>
      <c r="AD50" s="299">
        <f>IF(AF40&lt;&gt;" ",AF40," ")</f>
        <v>3</v>
      </c>
      <c r="AE50" s="300" t="str">
        <f t="shared" si="28"/>
        <v xml:space="preserve"> </v>
      </c>
      <c r="AF50" s="286">
        <f t="shared" si="29"/>
        <v>0</v>
      </c>
      <c r="AG50" s="287">
        <f t="shared" si="30"/>
        <v>0</v>
      </c>
      <c r="AH50" s="284">
        <f t="shared" si="31"/>
        <v>0</v>
      </c>
      <c r="AI50" s="287">
        <f t="shared" si="32"/>
        <v>0</v>
      </c>
      <c r="AJ50" s="288">
        <f t="shared" si="33"/>
        <v>0</v>
      </c>
      <c r="AK50" s="287">
        <f t="shared" si="34"/>
        <v>0</v>
      </c>
      <c r="AL50" s="288">
        <f t="shared" si="35"/>
        <v>0</v>
      </c>
      <c r="AM50" s="287">
        <f t="shared" si="36"/>
        <v>0</v>
      </c>
      <c r="AN50" s="288">
        <f t="shared" si="37"/>
        <v>0</v>
      </c>
      <c r="AO50" s="289">
        <f t="shared" si="38"/>
        <v>0</v>
      </c>
      <c r="AP50" s="301"/>
      <c r="AQ50" s="302">
        <f>IF(BI50&gt;0,1,0)</f>
        <v>0</v>
      </c>
      <c r="AR50" s="302">
        <f>IF(BI50&lt;0,1,0)</f>
        <v>0</v>
      </c>
      <c r="AT50" s="303"/>
      <c r="AU50" s="252"/>
      <c r="AV50" s="236"/>
      <c r="AW50" s="236"/>
      <c r="AX50" s="236"/>
      <c r="AY50" s="304"/>
      <c r="AZ50" s="305">
        <f>IF(BI50&gt;0,1,0)</f>
        <v>0</v>
      </c>
      <c r="BA50" s="305">
        <f>IF(BI50&lt;0,1,0)</f>
        <v>0</v>
      </c>
      <c r="BB50" s="306"/>
      <c r="BC50" s="239">
        <f t="shared" si="39"/>
        <v>0</v>
      </c>
      <c r="BD50" s="239">
        <f t="shared" si="40"/>
        <v>0</v>
      </c>
      <c r="BE50" s="239">
        <f t="shared" si="41"/>
        <v>0</v>
      </c>
      <c r="BF50" s="239">
        <f t="shared" si="42"/>
        <v>0</v>
      </c>
      <c r="BG50" s="239">
        <f t="shared" si="43"/>
        <v>0</v>
      </c>
      <c r="BH50" s="239" t="str">
        <f t="shared" si="44"/>
        <v>M</v>
      </c>
      <c r="BI50" s="239">
        <f t="shared" si="45"/>
        <v>0</v>
      </c>
      <c r="BJ50" s="239"/>
      <c r="BK50" s="239"/>
      <c r="BL50" s="239" t="e">
        <f t="shared" si="46"/>
        <v>#VALUE!</v>
      </c>
      <c r="BM50" s="239">
        <f t="shared" si="47"/>
        <v>0</v>
      </c>
      <c r="BN50" s="239"/>
      <c r="BO50" s="282"/>
      <c r="BQ50" s="268"/>
      <c r="BR50" s="248"/>
      <c r="BS50" s="237" t="str">
        <f>AE41</f>
        <v>D</v>
      </c>
      <c r="BT50" s="237" t="e">
        <f>CA47</f>
        <v>#VALUE!</v>
      </c>
      <c r="BU50" s="237" t="str">
        <f>BZ47</f>
        <v>M</v>
      </c>
      <c r="BV50" s="237" t="e">
        <f>CA48</f>
        <v>#VALUE!</v>
      </c>
      <c r="BW50" s="237" t="str">
        <f>BZ48</f>
        <v>M</v>
      </c>
      <c r="BX50" s="237" t="e">
        <f>CA49</f>
        <v>#VALUE!</v>
      </c>
      <c r="BY50" s="237" t="str">
        <f>BZ49</f>
        <v>M</v>
      </c>
      <c r="BZ50" s="269"/>
      <c r="CA50" s="307"/>
      <c r="CB50" s="248"/>
      <c r="CC50" s="248"/>
      <c r="CD50" s="271"/>
      <c r="CE50" s="271"/>
      <c r="CF50" s="249" t="e">
        <f t="shared" si="26"/>
        <v>#VALUE!</v>
      </c>
      <c r="CG50" s="242" t="e">
        <f t="shared" si="27"/>
        <v>#VALUE!</v>
      </c>
      <c r="CH50" s="308" t="e">
        <f>IF(BT50&gt;BU50,1,0)</f>
        <v>#VALUE!</v>
      </c>
      <c r="CI50" s="308" t="e">
        <f>IF(BV50&gt;BW50,1,0)</f>
        <v>#VALUE!</v>
      </c>
      <c r="CJ50" s="308" t="e">
        <f>IF(BX50&gt;BY50,1,0)</f>
        <v>#VALUE!</v>
      </c>
      <c r="CK50" s="308">
        <f>IF(CB50&gt;CC50,1,0)</f>
        <v>0</v>
      </c>
      <c r="CL50" s="308">
        <f>IF(CD50&gt;CE50,1,0)</f>
        <v>0</v>
      </c>
      <c r="CM50" s="309" t="e">
        <f>IF(BT50&lt;BU50,1,0)</f>
        <v>#VALUE!</v>
      </c>
      <c r="CN50" s="308" t="e">
        <f>IF(BV50&lt;BW50,1,0)</f>
        <v>#VALUE!</v>
      </c>
      <c r="CO50" s="308" t="e">
        <f>IF(BX50&lt;BY50,1,0)</f>
        <v>#VALUE!</v>
      </c>
      <c r="CP50" s="308">
        <f>IF(CB50&lt;CC50,1,0)</f>
        <v>0</v>
      </c>
      <c r="CQ50" s="308">
        <f>IF(CD50&lt;CE50,1,0)</f>
        <v>0</v>
      </c>
      <c r="CR50" s="308" t="s">
        <v>61</v>
      </c>
      <c r="CS50" s="277" t="e">
        <f>IF(CF50=CF47,BB49,"xxx")</f>
        <v>#VALUE!</v>
      </c>
      <c r="CT50" s="277" t="e">
        <f>IF(CF50=CF48,BB52,"xxx")</f>
        <v>#VALUE!</v>
      </c>
      <c r="CU50" s="277" t="e">
        <f>IF(CF50=CF49,BB54,"xxx")</f>
        <v>#VALUE!</v>
      </c>
      <c r="CV50" s="310" t="s">
        <v>53</v>
      </c>
      <c r="CW50" s="311"/>
      <c r="CX50" s="249" t="e">
        <f>SUM(CS50:CW50)</f>
        <v>#VALUE!</v>
      </c>
      <c r="CY50" s="308" t="s">
        <v>61</v>
      </c>
      <c r="CZ50" s="277" t="e">
        <f>IF(CF50=CF47,AY49,"xxx")</f>
        <v>#VALUE!</v>
      </c>
      <c r="DA50" s="277" t="e">
        <f>IF(CF50=CF48,AZ52,"xxx")</f>
        <v>#VALUE!</v>
      </c>
      <c r="DB50" s="277" t="e">
        <f>IF(CF50=CF49,BA54,"xxx")</f>
        <v>#VALUE!</v>
      </c>
      <c r="DC50" s="310" t="s">
        <v>53</v>
      </c>
      <c r="DD50" s="311"/>
      <c r="DE50" s="312" t="e">
        <f>SUM(CZ50:DD50)</f>
        <v>#VALUE!</v>
      </c>
      <c r="DF50" s="308" t="s">
        <v>61</v>
      </c>
      <c r="DG50" s="277" t="e">
        <f>IF(AND(BA41&lt;&gt;0,AY41=AY38),IF(BA41=BA38,BB49,"xxx"),"xxx")</f>
        <v>#VALUE!</v>
      </c>
      <c r="DH50" s="277" t="e">
        <f>IF(AND(BA41&lt;&gt;0,AY41=AY39),IF(BA41=BA39,BB52,"xxx"),"xxx")</f>
        <v>#VALUE!</v>
      </c>
      <c r="DI50" s="277" t="e">
        <f>IF(AND(BA41&lt;&gt;0,AY41=AY40),IF(BA41=BA40,BB54,"xxx"),"xxx")</f>
        <v>#VALUE!</v>
      </c>
      <c r="DJ50" s="310" t="s">
        <v>53</v>
      </c>
      <c r="DK50" s="311"/>
      <c r="DL50" s="249" t="e">
        <f>SUM(DG50:DK50)</f>
        <v>#VALUE!</v>
      </c>
      <c r="DM50" s="308" t="s">
        <v>61</v>
      </c>
      <c r="DN50" s="277" t="e">
        <f>IF(AND(BA41&lt;&gt;0,AY41=AY38),IF(BA41=BA38,AY49,"xxx"),"xxx")</f>
        <v>#VALUE!</v>
      </c>
      <c r="DO50" s="277" t="e">
        <f>IF(AND(BA41&lt;&gt;0,AY41=AY39),IF(BA41=BA39,AZ52,"xxx"),"xxx")</f>
        <v>#VALUE!</v>
      </c>
      <c r="DP50" s="277" t="e">
        <f>IF(AND(BA41&lt;&gt;0,AY41=AY40),IF(BA41=BA40,BA54,"xxx"),"xxx")</f>
        <v>#VALUE!</v>
      </c>
      <c r="DQ50" s="310" t="s">
        <v>53</v>
      </c>
      <c r="DR50" s="311"/>
      <c r="DS50" s="249" t="e">
        <f>SUM(DN50:DR50)</f>
        <v>#VALUE!</v>
      </c>
      <c r="DT50" s="308" t="s">
        <v>61</v>
      </c>
      <c r="DU50" s="277" t="e">
        <f>IF(AND(CF50=CF47,BA41=BA38),BL49,"kkk")</f>
        <v>#VALUE!</v>
      </c>
      <c r="DV50" s="277" t="e">
        <f>IF(AND(CF50=CF48,BA41=BA39),BL52,"kkk")</f>
        <v>#VALUE!</v>
      </c>
      <c r="DW50" s="277" t="e">
        <f>IF(AND(CF50=CF49,BA41=BA40),BL54,"kkk")</f>
        <v>#VALUE!</v>
      </c>
      <c r="DX50" s="310" t="s">
        <v>53</v>
      </c>
      <c r="DY50" s="311"/>
      <c r="DZ50" s="249" t="e">
        <f>SUM(DU50:DY50)</f>
        <v>#VALUE!</v>
      </c>
      <c r="EA50" s="308" t="s">
        <v>61</v>
      </c>
      <c r="EB50" s="277" t="e">
        <f>IF(AND(CF50=CF47,BA41=BA38),BH49,"kkk")</f>
        <v>#VALUE!</v>
      </c>
      <c r="EC50" s="277" t="e">
        <f>IF(AND(CF50=CF48,BA41=BA39),BH52,"kkk")</f>
        <v>#VALUE!</v>
      </c>
      <c r="ED50" s="277" t="e">
        <f>IF(AND(CF50=CF49,BA41=BA40),BH54,"kkk")</f>
        <v>#VALUE!</v>
      </c>
      <c r="EE50" s="310" t="s">
        <v>53</v>
      </c>
      <c r="EF50" s="311"/>
      <c r="EG50" s="249" t="e">
        <f>SUM(EB50:EF50)</f>
        <v>#VALUE!</v>
      </c>
      <c r="EH50" s="308" t="s">
        <v>61</v>
      </c>
      <c r="EI50" s="277" t="e">
        <f>IF(BD41&lt;&gt;"ùùù",IF(AND(CF50=CF47,BD41=BD38),BL49,"kkk"),"kkk")</f>
        <v>#VALUE!</v>
      </c>
      <c r="EJ50" s="277" t="e">
        <f>IF(BD41&lt;&gt;"ùùù",IF(AND(CF50=CF48,BD41=BD39),BL52,"kkk"),"kkk")</f>
        <v>#VALUE!</v>
      </c>
      <c r="EK50" s="277" t="e">
        <f>IF(BD41&lt;&gt;"ùùù",IF(AND(CF50=CF49,BD41=BD40),BL54,"kkk"),"kkk")</f>
        <v>#VALUE!</v>
      </c>
      <c r="EL50" s="310" t="s">
        <v>53</v>
      </c>
      <c r="EM50" s="311"/>
      <c r="EN50" s="249" t="e">
        <f>SUM(EI50:EM50)</f>
        <v>#VALUE!</v>
      </c>
      <c r="EO50" s="308" t="s">
        <v>61</v>
      </c>
      <c r="EP50" s="277" t="e">
        <f>IF(BD41&lt;&gt;"ùùù",IF(AND(CF50=CF47,BD41=BD38),BH49,"kkk"),"kkk")</f>
        <v>#VALUE!</v>
      </c>
      <c r="EQ50" s="277" t="e">
        <f>IF(BD41&lt;&gt;"ùùù",IF(AND(CF50=CF48,BD41=BD39),BH52,"kkk"),"kkk")</f>
        <v>#VALUE!</v>
      </c>
      <c r="ER50" s="277" t="e">
        <f>IF(BD41&lt;&gt;"ùùù",IF(AND(CF50=CF49,BD41=BD40),BH54,"kkk"),"kkk")</f>
        <v>#VALUE!</v>
      </c>
      <c r="ES50" s="310" t="s">
        <v>53</v>
      </c>
      <c r="ET50" s="311"/>
      <c r="EU50" s="249" t="e">
        <f>SUM(EP50:ET50)</f>
        <v>#VALUE!</v>
      </c>
      <c r="EV50" s="308" t="s">
        <v>61</v>
      </c>
      <c r="EW50" s="277" t="e">
        <f>IF(AND(CF50=CF47,BC41=BC38),+AG49+AI49+AK49+AM49+AO49,"xxx")</f>
        <v>#VALUE!</v>
      </c>
      <c r="EX50" s="277" t="e">
        <f>IF(AND(CF50=CF48,BC41=BC39),+AG52+AI52+AK52+AM52+AO52,"xxx")</f>
        <v>#VALUE!</v>
      </c>
      <c r="EY50" s="277" t="e">
        <f>IF(AND(CF50=CF49,BC40=BC41),+AG54+AI54+AK54+AM54+AO54,"xxx")</f>
        <v>#VALUE!</v>
      </c>
      <c r="EZ50" s="310" t="s">
        <v>53</v>
      </c>
      <c r="FA50" s="311"/>
      <c r="FB50" s="249" t="e">
        <f>SUM(EW50:FA50)</f>
        <v>#VALUE!</v>
      </c>
      <c r="FC50" s="308" t="s">
        <v>61</v>
      </c>
      <c r="FD50" s="277" t="e">
        <f>IF(AND(CF50=CF47,BC41=BC38),+AF49+AH49+AJ49+AL49+AN49,"xxx")</f>
        <v>#VALUE!</v>
      </c>
      <c r="FE50" s="277" t="e">
        <f>IF(AND(CF50=CF48,BC41=BC39),+AF52+AH52+AJ52+AL52+AN52,"xxx")</f>
        <v>#VALUE!</v>
      </c>
      <c r="FF50" s="277" t="e">
        <f>IF(AND(CF50=CF49,BC41=BC40),+AF54+AH54+AJ54+AL54+AN54,"xxx")</f>
        <v>#VALUE!</v>
      </c>
      <c r="FG50" s="310" t="s">
        <v>53</v>
      </c>
      <c r="FH50" s="311"/>
      <c r="FI50" s="249" t="e">
        <f>SUM(FD50:FH50)</f>
        <v>#VALUE!</v>
      </c>
      <c r="FJ50" s="236"/>
      <c r="FK50" s="236"/>
      <c r="FL50" s="236"/>
      <c r="FM50" s="236"/>
    </row>
    <row r="51" spans="1:169" ht="21.95" customHeight="1" x14ac:dyDescent="0.2">
      <c r="A51" s="503"/>
      <c r="B51" s="503"/>
      <c r="C51" s="502"/>
      <c r="D51" s="502"/>
      <c r="E51" s="502"/>
      <c r="F51" s="502"/>
      <c r="G51" s="503"/>
      <c r="H51" s="506"/>
      <c r="I51" s="506"/>
      <c r="J51" s="506"/>
      <c r="K51" s="506"/>
      <c r="L51" s="572">
        <v>6</v>
      </c>
      <c r="M51" s="511"/>
      <c r="N51" s="572" t="s">
        <v>3</v>
      </c>
      <c r="O51" s="886" t="s">
        <v>17</v>
      </c>
      <c r="P51" s="887"/>
      <c r="Q51" s="887"/>
      <c r="R51" s="875"/>
      <c r="S51" s="875"/>
      <c r="T51" s="875"/>
      <c r="U51" s="875"/>
      <c r="V51" s="876"/>
      <c r="W51" s="573"/>
      <c r="X51" s="595" t="str">
        <f>IF($R$45="","",SUM(X45:X50))</f>
        <v/>
      </c>
      <c r="Y51" s="596" t="str">
        <f>IF($R$45="","",SUM(Y45:Y50))</f>
        <v/>
      </c>
      <c r="Z51" s="596" t="str">
        <f>IF($R$45="","",SUM(Z45:Z50))</f>
        <v/>
      </c>
      <c r="AA51" s="597" t="str">
        <f>IF($R$45="","",SUM(AA45:AA50))</f>
        <v/>
      </c>
      <c r="AB51" s="601">
        <f>SUM(X51:AA51)</f>
        <v>0</v>
      </c>
      <c r="AC51" s="298">
        <f>IF(AF38&lt;&gt;" ",AF38," ")</f>
        <v>1</v>
      </c>
      <c r="AD51" s="299">
        <f>IF(AF40&lt;&gt;" ",AF40," ")</f>
        <v>3</v>
      </c>
      <c r="AE51" s="300" t="str">
        <f t="shared" si="28"/>
        <v xml:space="preserve"> </v>
      </c>
      <c r="AF51" s="286">
        <f t="shared" si="29"/>
        <v>0</v>
      </c>
      <c r="AG51" s="287">
        <f t="shared" si="30"/>
        <v>0</v>
      </c>
      <c r="AH51" s="284">
        <f t="shared" si="31"/>
        <v>0</v>
      </c>
      <c r="AI51" s="287">
        <f t="shared" si="32"/>
        <v>0</v>
      </c>
      <c r="AJ51" s="288">
        <f t="shared" si="33"/>
        <v>0</v>
      </c>
      <c r="AK51" s="287">
        <f t="shared" si="34"/>
        <v>0</v>
      </c>
      <c r="AL51" s="288">
        <f t="shared" si="35"/>
        <v>0</v>
      </c>
      <c r="AM51" s="287">
        <f t="shared" si="36"/>
        <v>0</v>
      </c>
      <c r="AN51" s="288">
        <f t="shared" si="37"/>
        <v>0</v>
      </c>
      <c r="AO51" s="289">
        <f t="shared" si="38"/>
        <v>0</v>
      </c>
      <c r="AP51" s="313">
        <f>IF(BI51&gt;0,1,0)</f>
        <v>0</v>
      </c>
      <c r="AQ51" s="314"/>
      <c r="AR51" s="315">
        <f>IF(BI51&lt;0,1,0)</f>
        <v>0</v>
      </c>
      <c r="AS51" s="316"/>
      <c r="AT51" s="292"/>
      <c r="AU51" s="252"/>
      <c r="AV51" s="236"/>
      <c r="AW51" s="236"/>
      <c r="AX51" s="236"/>
      <c r="AY51" s="317">
        <f>IF(BI51&gt;0,1,0)</f>
        <v>0</v>
      </c>
      <c r="AZ51" s="318"/>
      <c r="BA51" s="305">
        <f>IF(BI51&lt;0,1,0)</f>
        <v>0</v>
      </c>
      <c r="BB51" s="319"/>
      <c r="BC51" s="239">
        <f t="shared" si="39"/>
        <v>0</v>
      </c>
      <c r="BD51" s="239">
        <f t="shared" si="40"/>
        <v>0</v>
      </c>
      <c r="BE51" s="239">
        <f t="shared" si="41"/>
        <v>0</v>
      </c>
      <c r="BF51" s="239">
        <f t="shared" si="42"/>
        <v>0</v>
      </c>
      <c r="BG51" s="239">
        <f t="shared" si="43"/>
        <v>0</v>
      </c>
      <c r="BH51" s="239" t="str">
        <f t="shared" si="44"/>
        <v>M</v>
      </c>
      <c r="BI51" s="239">
        <f t="shared" si="45"/>
        <v>0</v>
      </c>
      <c r="BJ51" s="239"/>
      <c r="BK51" s="239"/>
      <c r="BL51" s="239" t="e">
        <f t="shared" si="46"/>
        <v>#VALUE!</v>
      </c>
      <c r="BM51" s="239">
        <f t="shared" si="47"/>
        <v>0</v>
      </c>
      <c r="BN51" s="239"/>
      <c r="BO51" s="282"/>
      <c r="BQ51" s="268"/>
      <c r="BR51" s="248"/>
      <c r="BS51" s="308">
        <f>AE42</f>
        <v>0</v>
      </c>
      <c r="BT51" s="308">
        <f>CC47</f>
        <v>0</v>
      </c>
      <c r="BU51" s="308">
        <f>CB47</f>
        <v>0</v>
      </c>
      <c r="BV51" s="308">
        <f>CC48</f>
        <v>0</v>
      </c>
      <c r="BW51" s="308">
        <f>CB48</f>
        <v>0</v>
      </c>
      <c r="BX51" s="308">
        <f>CC49</f>
        <v>0</v>
      </c>
      <c r="BY51" s="308">
        <f>CB49</f>
        <v>0</v>
      </c>
      <c r="BZ51" s="308">
        <f>CC50</f>
        <v>0</v>
      </c>
      <c r="CA51" s="320">
        <f>CB50</f>
        <v>0</v>
      </c>
      <c r="CB51" s="271"/>
      <c r="CC51" s="271"/>
      <c r="CD51" s="271"/>
      <c r="CE51" s="271"/>
      <c r="CF51" s="249">
        <f t="shared" si="26"/>
        <v>0</v>
      </c>
      <c r="CG51" s="242">
        <f t="shared" si="27"/>
        <v>0</v>
      </c>
      <c r="CH51" s="271"/>
      <c r="CI51" s="271"/>
      <c r="CJ51" s="271"/>
      <c r="CK51" s="271"/>
      <c r="CL51" s="271"/>
      <c r="CM51" s="271"/>
      <c r="CN51" s="271"/>
      <c r="CO51" s="271"/>
      <c r="CP51" s="271"/>
      <c r="CQ51" s="271"/>
      <c r="CR51" s="271"/>
      <c r="CS51" s="252"/>
      <c r="CT51" s="252"/>
      <c r="CU51" s="252"/>
      <c r="CV51" s="252"/>
      <c r="CW51" s="252"/>
      <c r="CX51" s="252"/>
      <c r="CY51" s="271"/>
      <c r="CZ51" s="252"/>
      <c r="DA51" s="252"/>
      <c r="DB51" s="252"/>
      <c r="DC51" s="252"/>
      <c r="DD51" s="252"/>
      <c r="DE51" s="252"/>
      <c r="DF51" s="271"/>
      <c r="DG51" s="252"/>
      <c r="DH51" s="252"/>
      <c r="DI51" s="252"/>
      <c r="DJ51" s="252"/>
      <c r="DK51" s="252"/>
      <c r="DL51" s="252"/>
      <c r="DM51" s="271"/>
      <c r="DN51" s="252"/>
      <c r="DO51" s="252"/>
      <c r="DP51" s="252"/>
      <c r="DQ51" s="252"/>
      <c r="DR51" s="252"/>
      <c r="DS51" s="252"/>
      <c r="DT51" s="271"/>
      <c r="DU51" s="252"/>
      <c r="DV51" s="252"/>
      <c r="DW51" s="252"/>
      <c r="DX51" s="252"/>
      <c r="DY51" s="252"/>
      <c r="DZ51" s="252"/>
      <c r="EA51" s="271"/>
      <c r="EB51" s="252"/>
      <c r="EC51" s="252"/>
      <c r="ED51" s="252"/>
      <c r="EE51" s="252"/>
      <c r="EF51" s="252"/>
      <c r="EG51" s="252"/>
      <c r="EH51" s="271"/>
      <c r="EI51" s="252"/>
      <c r="EJ51" s="252"/>
      <c r="EK51" s="252"/>
      <c r="EL51" s="252"/>
      <c r="EM51" s="252"/>
      <c r="EN51" s="252"/>
      <c r="EO51" s="271"/>
      <c r="EP51" s="252"/>
      <c r="EQ51" s="252"/>
      <c r="ER51" s="252"/>
      <c r="ES51" s="252"/>
      <c r="ET51" s="252"/>
      <c r="EU51" s="252"/>
      <c r="EV51" s="271"/>
      <c r="EW51" s="252"/>
      <c r="EX51" s="252"/>
      <c r="EY51" s="252"/>
      <c r="EZ51" s="252"/>
      <c r="FA51" s="252"/>
      <c r="FB51" s="252"/>
      <c r="FC51" s="271"/>
      <c r="FD51" s="252"/>
      <c r="FE51" s="252"/>
      <c r="FF51" s="252"/>
      <c r="FG51" s="252"/>
      <c r="FH51" s="252"/>
      <c r="FI51" s="252"/>
      <c r="FJ51" s="236"/>
      <c r="FK51" s="236"/>
      <c r="FL51" s="236"/>
      <c r="FM51" s="236"/>
    </row>
    <row r="52" spans="1:169" ht="21.95" customHeight="1" thickBot="1" x14ac:dyDescent="0.25">
      <c r="A52" s="503"/>
      <c r="B52" s="577" t="s">
        <v>4</v>
      </c>
      <c r="C52" s="503"/>
      <c r="D52" s="503"/>
      <c r="E52" s="503"/>
      <c r="F52" s="503"/>
      <c r="G52" s="503"/>
      <c r="H52" s="506"/>
      <c r="I52" s="506"/>
      <c r="J52" s="506"/>
      <c r="K52" s="578" t="s">
        <v>3</v>
      </c>
      <c r="L52" s="579"/>
      <c r="M52" s="580" t="str">
        <f>IF(AB52=AB51,K52,IF(AB52&gt;AB51,""))</f>
        <v/>
      </c>
      <c r="N52" s="506"/>
      <c r="O52" s="833" t="s">
        <v>18</v>
      </c>
      <c r="P52" s="834"/>
      <c r="Q52" s="834"/>
      <c r="R52" s="834"/>
      <c r="S52" s="834"/>
      <c r="T52" s="834"/>
      <c r="U52" s="834"/>
      <c r="V52" s="835"/>
      <c r="W52" s="573"/>
      <c r="X52" s="581" t="str">
        <f>IF(M52="OK",BK38,"")</f>
        <v/>
      </c>
      <c r="Y52" s="582" t="str">
        <f>IF(M52="OK",BK39,"")</f>
        <v/>
      </c>
      <c r="Z52" s="582" t="str">
        <f>IF(M52="OK",BK40,"")</f>
        <v/>
      </c>
      <c r="AA52" s="598" t="str">
        <f>IF(M52="OK",BK41,"")</f>
        <v/>
      </c>
      <c r="AB52" s="601">
        <v>6</v>
      </c>
      <c r="AC52" s="283">
        <f>IF(AF39&lt;&gt;" ",AF39," ")</f>
        <v>2</v>
      </c>
      <c r="AD52" s="284">
        <f>IF(AF41&lt;&gt;" ",AF41," ")</f>
        <v>4</v>
      </c>
      <c r="AE52" s="300" t="str">
        <f t="shared" si="28"/>
        <v xml:space="preserve"> </v>
      </c>
      <c r="AF52" s="286">
        <f t="shared" si="29"/>
        <v>0</v>
      </c>
      <c r="AG52" s="287">
        <f t="shared" si="30"/>
        <v>0</v>
      </c>
      <c r="AH52" s="284">
        <f t="shared" si="31"/>
        <v>0</v>
      </c>
      <c r="AI52" s="287">
        <f t="shared" si="32"/>
        <v>0</v>
      </c>
      <c r="AJ52" s="288">
        <f t="shared" si="33"/>
        <v>0</v>
      </c>
      <c r="AK52" s="287">
        <f t="shared" si="34"/>
        <v>0</v>
      </c>
      <c r="AL52" s="288">
        <f t="shared" si="35"/>
        <v>0</v>
      </c>
      <c r="AM52" s="287">
        <f t="shared" si="36"/>
        <v>0</v>
      </c>
      <c r="AN52" s="288">
        <f t="shared" si="37"/>
        <v>0</v>
      </c>
      <c r="AO52" s="289">
        <f t="shared" si="38"/>
        <v>0</v>
      </c>
      <c r="AP52" s="301"/>
      <c r="AQ52" s="302">
        <f>IF(BI52&gt;0,1,0)</f>
        <v>0</v>
      </c>
      <c r="AR52" s="306"/>
      <c r="AS52" s="321">
        <f>IF(BI52&lt;0,1,0)</f>
        <v>0</v>
      </c>
      <c r="AT52" s="303"/>
      <c r="AU52" s="252"/>
      <c r="AV52" s="236"/>
      <c r="AW52" s="236"/>
      <c r="AX52" s="236"/>
      <c r="AY52" s="304"/>
      <c r="AZ52" s="305">
        <f>IF(BI52&gt;0,1,0)</f>
        <v>0</v>
      </c>
      <c r="BB52" s="322">
        <f>IF(BI52&lt;0,1,0)</f>
        <v>0</v>
      </c>
      <c r="BC52" s="239">
        <f t="shared" si="39"/>
        <v>0</v>
      </c>
      <c r="BD52" s="239">
        <f t="shared" si="40"/>
        <v>0</v>
      </c>
      <c r="BE52" s="239">
        <f t="shared" si="41"/>
        <v>0</v>
      </c>
      <c r="BF52" s="239">
        <f t="shared" si="42"/>
        <v>0</v>
      </c>
      <c r="BG52" s="239">
        <f t="shared" si="43"/>
        <v>0</v>
      </c>
      <c r="BH52" s="239" t="str">
        <f t="shared" si="44"/>
        <v>M</v>
      </c>
      <c r="BI52" s="239">
        <f t="shared" si="45"/>
        <v>0</v>
      </c>
      <c r="BJ52" s="239"/>
      <c r="BK52" s="239"/>
      <c r="BL52" s="239" t="e">
        <f t="shared" si="46"/>
        <v>#VALUE!</v>
      </c>
      <c r="BM52" s="239">
        <f t="shared" si="47"/>
        <v>0</v>
      </c>
      <c r="BN52" s="239"/>
      <c r="BO52" s="282"/>
      <c r="BQ52" s="26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71"/>
      <c r="CE52" s="271"/>
      <c r="CF52" s="249">
        <f t="shared" si="26"/>
        <v>0</v>
      </c>
      <c r="CG52" s="242">
        <f t="shared" si="27"/>
        <v>0</v>
      </c>
      <c r="CH52" s="271"/>
      <c r="CI52" s="271"/>
      <c r="CJ52" s="271"/>
      <c r="CK52" s="271"/>
      <c r="CL52" s="271"/>
      <c r="CM52" s="271"/>
      <c r="CN52" s="271"/>
      <c r="CO52" s="271"/>
      <c r="CP52" s="271"/>
      <c r="CQ52" s="271"/>
      <c r="CR52" s="271"/>
      <c r="CS52" s="252"/>
      <c r="CT52" s="252"/>
      <c r="CU52" s="252"/>
      <c r="CV52" s="252"/>
      <c r="CW52" s="252"/>
      <c r="CX52" s="252"/>
      <c r="CY52" s="249"/>
      <c r="CZ52" s="271"/>
      <c r="DA52" s="252"/>
      <c r="DB52" s="252"/>
      <c r="DC52" s="252"/>
      <c r="DD52" s="252"/>
      <c r="DE52" s="252"/>
      <c r="DF52" s="271"/>
      <c r="DG52" s="252"/>
      <c r="DH52" s="252"/>
      <c r="DI52" s="252"/>
      <c r="DJ52" s="252"/>
      <c r="DK52" s="252"/>
      <c r="DL52" s="252"/>
      <c r="DM52" s="271"/>
      <c r="DN52" s="252"/>
      <c r="DO52" s="252"/>
      <c r="DP52" s="252"/>
      <c r="DQ52" s="252"/>
      <c r="DR52" s="252"/>
      <c r="DS52" s="252"/>
      <c r="DT52" s="248"/>
      <c r="DU52" s="249"/>
      <c r="DV52" s="236"/>
      <c r="DW52" s="248"/>
      <c r="DX52" s="249"/>
      <c r="DY52" s="249"/>
      <c r="DZ52" s="248"/>
      <c r="EA52" s="248"/>
      <c r="EB52" s="249" t="e">
        <f>IF(EG47&gt;0,DZ47/EG47,"???")</f>
        <v>#VALUE!</v>
      </c>
      <c r="EC52" s="249" t="e">
        <f>IF(EG48&gt;0,DZ48/EG48,"???")</f>
        <v>#VALUE!</v>
      </c>
      <c r="ED52" s="249" t="e">
        <f>IF(EG49&gt;0,DZ49/EG49,"???")</f>
        <v>#VALUE!</v>
      </c>
      <c r="EE52" s="249" t="e">
        <f>IF(EG50&gt;0,DZ50/EG50,"???")</f>
        <v>#VALUE!</v>
      </c>
      <c r="EF52" s="249" t="str">
        <f>IF(EG51&gt;0,DZ51/EG51,"???")</f>
        <v>???</v>
      </c>
      <c r="EG52" s="249"/>
      <c r="EH52" s="271"/>
      <c r="EI52" s="252"/>
      <c r="EJ52" s="252"/>
      <c r="EK52" s="252"/>
      <c r="EL52" s="252"/>
      <c r="EM52" s="252"/>
      <c r="EN52" s="249">
        <f>SUM(EI52:EM52)</f>
        <v>0</v>
      </c>
      <c r="EO52" s="271"/>
      <c r="EP52" s="248" t="e">
        <f>IF(EU47&gt;0,EN47/EU47,"???")</f>
        <v>#VALUE!</v>
      </c>
      <c r="EQ52" s="248" t="e">
        <f>IF(EU48&gt;0,EN48/EU48,"???")</f>
        <v>#VALUE!</v>
      </c>
      <c r="ER52" s="248" t="e">
        <f>IF(EU49&gt;0,EN49/EU49,"???")</f>
        <v>#VALUE!</v>
      </c>
      <c r="ES52" s="248" t="e">
        <f>IF(EU50&gt;0,EN50/EU50,"???")</f>
        <v>#VALUE!</v>
      </c>
      <c r="ET52" s="248" t="str">
        <f>IF(EU51&gt;0,EN51/EU51,"???")</f>
        <v>???</v>
      </c>
      <c r="EU52" s="249"/>
      <c r="EV52" s="271"/>
      <c r="EW52" s="252"/>
      <c r="EX52" s="252"/>
      <c r="EY52" s="252"/>
      <c r="EZ52" s="252"/>
      <c r="FA52" s="252"/>
      <c r="FB52" s="323" t="e">
        <f>SUM(FB47:FB51)</f>
        <v>#VALUE!</v>
      </c>
      <c r="FC52" s="271"/>
      <c r="FD52" s="252"/>
      <c r="FF52" s="252"/>
      <c r="FG52" s="252"/>
      <c r="FH52" s="252"/>
      <c r="FI52" s="323" t="e">
        <f>SUM(FI47:FI51)</f>
        <v>#VALUE!</v>
      </c>
      <c r="FJ52" s="236"/>
      <c r="FK52" s="236"/>
      <c r="FL52" s="236"/>
      <c r="FM52" s="236"/>
    </row>
    <row r="53" spans="1:169" ht="27.95" customHeight="1" thickBot="1" x14ac:dyDescent="0.25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6"/>
      <c r="X53" s="504"/>
      <c r="Y53" s="504"/>
      <c r="Z53" s="504"/>
      <c r="AA53" s="506"/>
      <c r="AC53" s="298">
        <f>IF(AF38&lt;&gt;" ",AF38," ")</f>
        <v>1</v>
      </c>
      <c r="AD53" s="299">
        <f>IF(AF39&lt;&gt;" ",AF39," ")</f>
        <v>2</v>
      </c>
      <c r="AE53" s="300" t="str">
        <f t="shared" si="28"/>
        <v xml:space="preserve"> </v>
      </c>
      <c r="AF53" s="286">
        <f t="shared" si="29"/>
        <v>0</v>
      </c>
      <c r="AG53" s="287">
        <f t="shared" si="30"/>
        <v>0</v>
      </c>
      <c r="AH53" s="284">
        <f t="shared" si="31"/>
        <v>0</v>
      </c>
      <c r="AI53" s="287">
        <f t="shared" si="32"/>
        <v>0</v>
      </c>
      <c r="AJ53" s="288">
        <f t="shared" si="33"/>
        <v>0</v>
      </c>
      <c r="AK53" s="287">
        <f t="shared" si="34"/>
        <v>0</v>
      </c>
      <c r="AL53" s="288">
        <f t="shared" si="35"/>
        <v>0</v>
      </c>
      <c r="AM53" s="287">
        <f t="shared" si="36"/>
        <v>0</v>
      </c>
      <c r="AN53" s="288">
        <f t="shared" si="37"/>
        <v>0</v>
      </c>
      <c r="AO53" s="289">
        <f t="shared" si="38"/>
        <v>0</v>
      </c>
      <c r="AP53" s="313">
        <f>IF(BI53&gt;0,1,0)</f>
        <v>0</v>
      </c>
      <c r="AQ53" s="302">
        <f>IF(BI53&lt;0,1,0)</f>
        <v>0</v>
      </c>
      <c r="AR53" s="324"/>
      <c r="AT53" s="303"/>
      <c r="AU53" s="252"/>
      <c r="AV53" s="236"/>
      <c r="AW53" s="236"/>
      <c r="AX53" s="236"/>
      <c r="AY53" s="317">
        <f>IF(BI53&gt;0,1,0)</f>
        <v>0</v>
      </c>
      <c r="AZ53" s="305">
        <f>IF(BI53&lt;0,1,0)</f>
        <v>0</v>
      </c>
      <c r="BA53" s="318"/>
      <c r="BB53" s="325"/>
      <c r="BC53" s="239">
        <f t="shared" si="39"/>
        <v>0</v>
      </c>
      <c r="BD53" s="239">
        <f t="shared" si="40"/>
        <v>0</v>
      </c>
      <c r="BE53" s="239">
        <f t="shared" si="41"/>
        <v>0</v>
      </c>
      <c r="BF53" s="239">
        <f t="shared" si="42"/>
        <v>0</v>
      </c>
      <c r="BG53" s="239">
        <f t="shared" si="43"/>
        <v>0</v>
      </c>
      <c r="BH53" s="239" t="str">
        <f t="shared" si="44"/>
        <v>M</v>
      </c>
      <c r="BI53" s="239">
        <f t="shared" si="45"/>
        <v>0</v>
      </c>
      <c r="BJ53" s="239"/>
      <c r="BK53" s="239"/>
      <c r="BL53" s="239" t="e">
        <f t="shared" si="46"/>
        <v>#VALUE!</v>
      </c>
      <c r="BM53" s="239">
        <f t="shared" si="47"/>
        <v>0</v>
      </c>
      <c r="BN53" s="239"/>
      <c r="BO53" s="282"/>
      <c r="BQ53" s="26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9">
        <f t="shared" si="26"/>
        <v>0</v>
      </c>
      <c r="CG53" s="242">
        <f t="shared" si="27"/>
        <v>0</v>
      </c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1"/>
      <c r="CY53" s="249"/>
      <c r="CZ53" s="271"/>
      <c r="DA53" s="252"/>
      <c r="DB53" s="252"/>
      <c r="DC53" s="252"/>
      <c r="DD53" s="252"/>
      <c r="DE53" s="252"/>
      <c r="DF53" s="252"/>
      <c r="DG53" s="252"/>
      <c r="DH53" s="271"/>
      <c r="DI53" s="252"/>
      <c r="DJ53" s="252"/>
      <c r="DK53" s="252"/>
      <c r="DL53" s="252"/>
      <c r="DM53" s="271"/>
      <c r="DN53" s="252"/>
      <c r="DO53" s="252"/>
      <c r="DP53" s="252"/>
      <c r="DQ53" s="252"/>
      <c r="DR53" s="252"/>
      <c r="DS53" s="252"/>
      <c r="DT53" s="248"/>
      <c r="DU53" s="249"/>
      <c r="DV53" s="249"/>
      <c r="DW53" s="249"/>
      <c r="DX53" s="249"/>
      <c r="DY53" s="249"/>
      <c r="DZ53" s="252"/>
      <c r="EA53" s="248"/>
      <c r="EH53" s="271"/>
      <c r="EI53" s="271"/>
      <c r="EJ53" s="271"/>
      <c r="EK53" s="271"/>
      <c r="EL53" s="271"/>
      <c r="EM53" s="271"/>
      <c r="EN53" s="249">
        <f>SUM(EI53:EM53)</f>
        <v>0</v>
      </c>
      <c r="EO53" s="236"/>
      <c r="EP53" s="236"/>
      <c r="EQ53" s="236"/>
      <c r="ER53" s="236"/>
      <c r="ES53" s="236"/>
      <c r="ET53" s="236"/>
      <c r="EU53" s="236"/>
      <c r="EV53" s="271"/>
      <c r="EW53" s="252"/>
      <c r="EX53" s="252"/>
      <c r="EY53" s="249"/>
      <c r="EZ53" s="252"/>
      <c r="FA53" s="252"/>
      <c r="FB53" s="252"/>
      <c r="FC53" s="271"/>
      <c r="FD53" s="252"/>
      <c r="FE53" s="248"/>
      <c r="FF53" s="252"/>
      <c r="FG53" s="252"/>
      <c r="FH53" s="252"/>
      <c r="FI53" s="252"/>
      <c r="FJ53" s="236"/>
      <c r="FK53" s="236"/>
      <c r="FL53" s="236"/>
      <c r="FM53" s="236"/>
    </row>
    <row r="54" spans="1:169" ht="27.95" customHeight="1" thickBot="1" x14ac:dyDescent="0.25">
      <c r="A54" s="881" t="s">
        <v>289</v>
      </c>
      <c r="B54" s="882"/>
      <c r="C54" s="870" t="str">
        <f>IF($AB51&lt;6,"",IF($X52=1,C38,IF($Y52=1,C39,IF($Z52=1,C40,IF($AA52=1,C41)))))</f>
        <v/>
      </c>
      <c r="D54" s="871"/>
      <c r="E54" s="811" t="str">
        <f>IF(C54="","",VLOOKUP(C54,liste!$A$9:$G$145,2,FALSE))</f>
        <v/>
      </c>
      <c r="F54" s="812"/>
      <c r="G54" s="812"/>
      <c r="H54" s="812"/>
      <c r="I54" s="813"/>
      <c r="J54" s="584" t="str">
        <f>IF(C54="","",VLOOKUP(C54,liste!$A$9:$G$145,4,FALSE))</f>
        <v/>
      </c>
      <c r="K54" s="811" t="str">
        <f>IF(C54="","",VLOOKUP(C54,liste!$A$9:$G$145,3,FALSE))</f>
        <v/>
      </c>
      <c r="L54" s="812"/>
      <c r="M54" s="812"/>
      <c r="N54" s="813"/>
      <c r="O54" s="513"/>
      <c r="P54" s="892" t="s">
        <v>294</v>
      </c>
      <c r="Q54" s="892"/>
      <c r="R54" s="892"/>
      <c r="S54" s="504"/>
      <c r="T54" s="504"/>
      <c r="U54" s="504"/>
      <c r="V54" s="504"/>
      <c r="W54" s="504"/>
      <c r="X54" s="504"/>
      <c r="Y54" s="504"/>
      <c r="Z54" s="504"/>
      <c r="AA54" s="506"/>
      <c r="AC54" s="298">
        <f>IF(AF40&lt;&gt;" ",AF40," ")</f>
        <v>3</v>
      </c>
      <c r="AD54" s="299">
        <f>IF(AF41&lt;&gt;" ",AF41," ")</f>
        <v>4</v>
      </c>
      <c r="AE54" s="300" t="str">
        <f t="shared" si="28"/>
        <v xml:space="preserve"> </v>
      </c>
      <c r="AF54" s="286">
        <f t="shared" si="29"/>
        <v>0</v>
      </c>
      <c r="AG54" s="287">
        <f t="shared" si="30"/>
        <v>0</v>
      </c>
      <c r="AH54" s="284">
        <f t="shared" si="31"/>
        <v>0</v>
      </c>
      <c r="AI54" s="287">
        <f t="shared" si="32"/>
        <v>0</v>
      </c>
      <c r="AJ54" s="288">
        <f t="shared" si="33"/>
        <v>0</v>
      </c>
      <c r="AK54" s="287">
        <f t="shared" si="34"/>
        <v>0</v>
      </c>
      <c r="AL54" s="288">
        <f t="shared" si="35"/>
        <v>0</v>
      </c>
      <c r="AM54" s="287">
        <f t="shared" si="36"/>
        <v>0</v>
      </c>
      <c r="AN54" s="288">
        <f t="shared" si="37"/>
        <v>0</v>
      </c>
      <c r="AO54" s="289">
        <f t="shared" si="38"/>
        <v>0</v>
      </c>
      <c r="AP54" s="301"/>
      <c r="AR54" s="302">
        <f>IF(BI54&gt;0,1,0)</f>
        <v>0</v>
      </c>
      <c r="AS54" s="315">
        <f>IF(BI54&lt;0,1,0)</f>
        <v>0</v>
      </c>
      <c r="AT54" s="292"/>
      <c r="AU54" s="252"/>
      <c r="AV54" s="236"/>
      <c r="AW54" s="236"/>
      <c r="AX54" s="236"/>
      <c r="AY54" s="326"/>
      <c r="AZ54" s="327"/>
      <c r="BA54" s="328">
        <f>IF(BI54&gt;0,1,0)</f>
        <v>0</v>
      </c>
      <c r="BB54" s="328">
        <f>IF(BI54&lt;0,1,0)</f>
        <v>0</v>
      </c>
      <c r="BC54" s="329">
        <f t="shared" si="39"/>
        <v>0</v>
      </c>
      <c r="BD54" s="329">
        <f t="shared" si="40"/>
        <v>0</v>
      </c>
      <c r="BE54" s="329">
        <f t="shared" si="41"/>
        <v>0</v>
      </c>
      <c r="BF54" s="329">
        <f t="shared" si="42"/>
        <v>0</v>
      </c>
      <c r="BG54" s="329">
        <f t="shared" si="43"/>
        <v>0</v>
      </c>
      <c r="BH54" s="329" t="str">
        <f t="shared" si="44"/>
        <v>M</v>
      </c>
      <c r="BI54" s="329">
        <f t="shared" si="45"/>
        <v>0</v>
      </c>
      <c r="BJ54" s="329"/>
      <c r="BK54" s="329"/>
      <c r="BL54" s="329" t="e">
        <f t="shared" si="46"/>
        <v>#VALUE!</v>
      </c>
      <c r="BM54" s="329">
        <f t="shared" si="47"/>
        <v>0</v>
      </c>
      <c r="BN54" s="329"/>
      <c r="BO54" s="330"/>
      <c r="BQ54" s="268"/>
      <c r="BR54" s="248"/>
      <c r="BS54" s="248">
        <f>AE45</f>
        <v>0</v>
      </c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9"/>
      <c r="DB54" s="249"/>
      <c r="DC54" s="249"/>
      <c r="DD54" s="249"/>
      <c r="DE54" s="249"/>
      <c r="DF54" s="249"/>
      <c r="DG54" s="248"/>
      <c r="DH54" s="248"/>
      <c r="DI54" s="249"/>
      <c r="DJ54" s="249"/>
      <c r="DK54" s="249"/>
      <c r="DL54" s="249"/>
      <c r="DM54" s="249"/>
      <c r="DN54" s="249"/>
      <c r="DO54" s="248"/>
      <c r="DP54" s="248"/>
      <c r="DQ54" s="249"/>
      <c r="DR54" s="249"/>
      <c r="DS54" s="249"/>
      <c r="DT54" s="236"/>
      <c r="DU54" s="236"/>
      <c r="DV54" s="236"/>
      <c r="DW54" s="236"/>
      <c r="DX54" s="236"/>
      <c r="DY54" s="236"/>
      <c r="DZ54" s="236"/>
      <c r="EA54" s="248"/>
      <c r="EB54" s="236"/>
      <c r="EC54" s="236"/>
      <c r="ED54" s="236"/>
      <c r="EE54" s="236"/>
      <c r="EF54" s="236"/>
      <c r="EG54" s="252"/>
      <c r="EH54" s="248"/>
      <c r="EI54" s="248"/>
      <c r="EJ54" s="248"/>
      <c r="EK54" s="248"/>
      <c r="EL54" s="248"/>
      <c r="EM54" s="248"/>
      <c r="EN54" s="248"/>
      <c r="EO54" s="236"/>
      <c r="EP54" s="236"/>
      <c r="EQ54" s="236"/>
      <c r="ER54" s="236"/>
      <c r="ES54" s="236"/>
      <c r="ET54" s="236"/>
      <c r="EU54" s="248"/>
      <c r="EV54" s="248"/>
      <c r="EW54" s="248"/>
      <c r="EX54" s="248"/>
      <c r="EY54" s="248"/>
      <c r="EZ54" s="248"/>
      <c r="FA54" s="248"/>
      <c r="FB54" s="248"/>
      <c r="FC54" s="248"/>
      <c r="FD54" s="248"/>
      <c r="FF54" s="248"/>
      <c r="FG54" s="248"/>
      <c r="FH54" s="248"/>
      <c r="FI54" s="248"/>
      <c r="FJ54" s="236"/>
      <c r="FK54" s="236"/>
      <c r="FL54" s="236"/>
      <c r="FM54" s="236"/>
    </row>
    <row r="55" spans="1:169" ht="27.95" customHeight="1" thickTop="1" thickBot="1" x14ac:dyDescent="0.25">
      <c r="A55" s="877" t="s">
        <v>290</v>
      </c>
      <c r="B55" s="878"/>
      <c r="C55" s="868" t="str">
        <f>IF($AB51&lt;6,"",IF($X52=2,C38,IF($Y52=2,C39,IF($Z52=2,C40,IF($AA52=2,C41)))))</f>
        <v/>
      </c>
      <c r="D55" s="869"/>
      <c r="E55" s="804" t="str">
        <f>IF(C55="","",VLOOKUP(C55,liste!$A$9:$G$145,2,FALSE))</f>
        <v/>
      </c>
      <c r="F55" s="805"/>
      <c r="G55" s="805"/>
      <c r="H55" s="805"/>
      <c r="I55" s="806"/>
      <c r="J55" s="585" t="str">
        <f>IF(C55="","",VLOOKUP(C55,liste!$A$9:$G$145,4,FALSE))</f>
        <v/>
      </c>
      <c r="K55" s="804" t="str">
        <f>IF(C55="","",VLOOKUP(C55,liste!$A$9:$G$145,3,FALSE))</f>
        <v/>
      </c>
      <c r="L55" s="805"/>
      <c r="M55" s="805"/>
      <c r="N55" s="806"/>
      <c r="O55" s="504"/>
      <c r="P55" s="825">
        <f>$P$26</f>
        <v>0</v>
      </c>
      <c r="Q55" s="825"/>
      <c r="R55" s="825"/>
      <c r="S55" s="825"/>
      <c r="T55" s="825"/>
      <c r="U55" s="825"/>
      <c r="V55" s="504"/>
      <c r="W55" s="504"/>
      <c r="X55" s="504"/>
      <c r="Y55" s="504"/>
      <c r="Z55" s="504"/>
      <c r="AA55" s="506"/>
      <c r="AC55" s="331"/>
      <c r="AD55" s="332"/>
      <c r="AE55" s="332"/>
      <c r="AF55" s="333"/>
      <c r="AG55" s="333"/>
      <c r="AH55" s="333"/>
      <c r="AI55" s="333"/>
      <c r="AJ55" s="334"/>
      <c r="AK55" s="334"/>
      <c r="AL55" s="335"/>
      <c r="AM55" s="334" t="s">
        <v>72</v>
      </c>
      <c r="AN55" s="333"/>
      <c r="AO55" s="336"/>
      <c r="AP55" s="337">
        <f>SUM(AP49:AP54)</f>
        <v>0</v>
      </c>
      <c r="AQ55" s="338">
        <f>SUM(AQ49:AQ54)</f>
        <v>0</v>
      </c>
      <c r="AR55" s="338">
        <f>SUM(AR49:AR54)</f>
        <v>0</v>
      </c>
      <c r="AS55" s="339">
        <f>SUM(AS49:AS54)</f>
        <v>0</v>
      </c>
      <c r="AT55" s="340">
        <f>SUM(AT49:AT54)</f>
        <v>0</v>
      </c>
      <c r="AU55" s="252"/>
      <c r="AV55" s="236"/>
      <c r="AW55" s="236"/>
      <c r="AX55" s="236"/>
      <c r="AY55" s="323"/>
      <c r="AZ55" s="323"/>
      <c r="BA55" s="323"/>
      <c r="BB55" s="323"/>
      <c r="BC55" s="323"/>
      <c r="BD55" s="252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49"/>
      <c r="BR55" s="248"/>
      <c r="BS55" s="248">
        <f>AE46</f>
        <v>0</v>
      </c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248"/>
      <c r="CW55" s="248"/>
      <c r="CX55" s="248"/>
      <c r="CY55" s="248"/>
      <c r="CZ55" s="248"/>
      <c r="DA55" s="249"/>
      <c r="DB55" s="249"/>
      <c r="DC55" s="249"/>
      <c r="DD55" s="249"/>
      <c r="DE55" s="249"/>
      <c r="DF55" s="249"/>
      <c r="DG55" s="248"/>
      <c r="DH55" s="248"/>
      <c r="DI55" s="249"/>
      <c r="DJ55" s="249"/>
      <c r="DK55" s="249"/>
      <c r="DL55" s="249"/>
      <c r="DM55" s="249"/>
      <c r="DN55" s="249"/>
      <c r="DO55" s="248"/>
      <c r="DP55" s="248"/>
      <c r="DQ55" s="249"/>
      <c r="DR55" s="249"/>
      <c r="DS55" s="249"/>
      <c r="DT55" s="249"/>
      <c r="DU55" s="249"/>
      <c r="DV55" s="249"/>
      <c r="DW55" s="248"/>
      <c r="DX55" s="248"/>
      <c r="DY55" s="249"/>
      <c r="DZ55" s="249"/>
      <c r="EA55" s="236"/>
      <c r="EB55" s="249"/>
      <c r="EC55" s="249"/>
      <c r="ED55" s="249"/>
      <c r="EE55" s="248">
        <f>SUM(DY55:ED55)</f>
        <v>0</v>
      </c>
      <c r="EF55" s="248"/>
      <c r="EG55" s="236"/>
      <c r="EH55" s="248"/>
      <c r="EI55" s="248"/>
      <c r="EJ55" s="248"/>
      <c r="EK55" s="248"/>
      <c r="EL55" s="248"/>
      <c r="EM55" s="248"/>
      <c r="EN55" s="248"/>
      <c r="EO55" s="236"/>
      <c r="EP55" s="236"/>
      <c r="EQ55" s="236"/>
      <c r="ER55" s="236"/>
      <c r="ES55" s="236"/>
      <c r="ET55" s="236"/>
      <c r="EU55" s="248"/>
      <c r="EV55" s="248"/>
      <c r="EW55" s="236"/>
      <c r="EX55" s="236"/>
      <c r="EY55" s="236"/>
      <c r="EZ55" s="236"/>
      <c r="FA55" s="236"/>
      <c r="FB55" s="236"/>
      <c r="FC55" s="248"/>
      <c r="FD55" s="248"/>
      <c r="FE55" s="248"/>
      <c r="FF55" s="248"/>
      <c r="FG55" s="248"/>
      <c r="FH55" s="248"/>
      <c r="FI55" s="248"/>
      <c r="FJ55" s="236"/>
      <c r="FK55" s="236"/>
      <c r="FL55" s="236"/>
      <c r="FM55" s="236"/>
    </row>
    <row r="56" spans="1:169" ht="27.95" customHeight="1" thickTop="1" x14ac:dyDescent="0.2">
      <c r="A56" s="877" t="s">
        <v>291</v>
      </c>
      <c r="B56" s="878"/>
      <c r="C56" s="868" t="str">
        <f>IF($AB51&lt;6,"",IF($X52=3,C38,IF($Y52=3,C39,IF($Z52=3,C40,IF($AA52=3,C41)))))</f>
        <v/>
      </c>
      <c r="D56" s="869"/>
      <c r="E56" s="804" t="str">
        <f>IF(C56="","",VLOOKUP(C56,liste!$A$9:$G$145,2,FALSE))</f>
        <v/>
      </c>
      <c r="F56" s="805"/>
      <c r="G56" s="805"/>
      <c r="H56" s="805"/>
      <c r="I56" s="806"/>
      <c r="J56" s="585" t="str">
        <f>IF(C56="","",VLOOKUP(C56,liste!$A$9:$G$145,4,FALSE))</f>
        <v/>
      </c>
      <c r="K56" s="804" t="str">
        <f>IF(C56="","",VLOOKUP(C56,liste!$A$9:$G$145,3,FALSE))</f>
        <v/>
      </c>
      <c r="L56" s="805"/>
      <c r="M56" s="805"/>
      <c r="N56" s="806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6"/>
      <c r="AU56" s="252"/>
      <c r="AV56" s="236"/>
      <c r="AW56" s="236"/>
      <c r="AX56" s="236"/>
      <c r="AY56" s="323"/>
      <c r="AZ56" s="323"/>
      <c r="BA56" s="323"/>
      <c r="BB56" s="323"/>
      <c r="BC56" s="323"/>
      <c r="BD56" s="252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  <c r="CV56" s="248"/>
      <c r="CW56" s="248"/>
      <c r="CX56" s="248"/>
      <c r="CY56" s="248"/>
      <c r="CZ56" s="248"/>
      <c r="DA56" s="249"/>
      <c r="DB56" s="249"/>
      <c r="DC56" s="249"/>
      <c r="DD56" s="249"/>
      <c r="DE56" s="249"/>
      <c r="DF56" s="249"/>
      <c r="DG56" s="248"/>
      <c r="DH56" s="248"/>
      <c r="DI56" s="249"/>
      <c r="DJ56" s="249"/>
      <c r="DK56" s="249"/>
      <c r="DL56" s="249"/>
      <c r="DM56" s="249"/>
      <c r="DN56" s="249"/>
      <c r="DO56" s="248"/>
      <c r="DP56" s="248"/>
      <c r="DQ56" s="249"/>
      <c r="DR56" s="249"/>
      <c r="DS56" s="249"/>
      <c r="DT56" s="249"/>
      <c r="DU56" s="249"/>
      <c r="DV56" s="249"/>
      <c r="DW56" s="248"/>
      <c r="DX56" s="248"/>
      <c r="DY56" s="249"/>
      <c r="DZ56" s="249"/>
      <c r="EA56" s="249"/>
      <c r="EB56" s="249"/>
      <c r="EC56" s="249"/>
      <c r="ED56" s="249"/>
      <c r="EE56" s="248">
        <f>SUM(DY56:ED56)</f>
        <v>0</v>
      </c>
      <c r="EF56" s="248"/>
      <c r="EG56" s="241"/>
      <c r="EH56" s="241"/>
      <c r="EI56" s="241"/>
      <c r="EJ56" s="241"/>
      <c r="EK56" s="241"/>
      <c r="EL56" s="241"/>
      <c r="EM56" s="248"/>
      <c r="EN56" s="248"/>
      <c r="EO56" s="248"/>
      <c r="EP56" s="248"/>
      <c r="EQ56" s="248"/>
      <c r="ER56" s="248"/>
      <c r="ES56" s="248"/>
      <c r="ET56" s="248"/>
      <c r="EU56" s="248"/>
      <c r="EV56" s="248"/>
      <c r="EW56" s="248"/>
      <c r="EX56" s="248"/>
      <c r="EY56" s="248"/>
      <c r="EZ56" s="248"/>
      <c r="FA56" s="248"/>
      <c r="FB56" s="248"/>
      <c r="FC56" s="248"/>
      <c r="FD56" s="248"/>
      <c r="FE56" s="248"/>
      <c r="FF56" s="248"/>
      <c r="FG56" s="248"/>
      <c r="FH56" s="248"/>
      <c r="FI56" s="248"/>
      <c r="FJ56" s="236"/>
      <c r="FK56" s="236"/>
      <c r="FL56" s="236"/>
      <c r="FM56" s="236"/>
    </row>
    <row r="57" spans="1:169" ht="21.95" customHeight="1" thickBot="1" x14ac:dyDescent="0.25">
      <c r="A57" s="888" t="s">
        <v>292</v>
      </c>
      <c r="B57" s="889"/>
      <c r="C57" s="860" t="str">
        <f>IF($AB51&lt;6,"",IF($X52=4,C38,IF($Y52=4,C39,IF($Z52=4,C40,IF(AA52=4,C41)))))</f>
        <v/>
      </c>
      <c r="D57" s="861"/>
      <c r="E57" s="814" t="str">
        <f>IF(C57="","",VLOOKUP(C57,liste!$A$9:$G$145,2,FALSE))</f>
        <v/>
      </c>
      <c r="F57" s="815"/>
      <c r="G57" s="815"/>
      <c r="H57" s="815"/>
      <c r="I57" s="816"/>
      <c r="J57" s="586" t="str">
        <f>IF(C57="","",VLOOKUP(C57,liste!$A$9:$G$145,4,FALSE))</f>
        <v/>
      </c>
      <c r="K57" s="814" t="str">
        <f>IF(C57="","",VLOOKUP(C57,liste!$A$9:$G$145,3,FALSE))</f>
        <v/>
      </c>
      <c r="L57" s="815"/>
      <c r="M57" s="815"/>
      <c r="N57" s="81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U57" s="252"/>
      <c r="AV57" s="236"/>
      <c r="AW57" s="236"/>
      <c r="AX57" s="236"/>
      <c r="AY57" s="323"/>
      <c r="AZ57" s="323"/>
      <c r="BA57" s="323"/>
      <c r="BB57" s="323"/>
      <c r="BC57" s="323"/>
      <c r="BD57" s="252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1"/>
      <c r="CG57" s="241"/>
      <c r="CH57" s="248"/>
      <c r="CI57" s="248"/>
      <c r="CJ57" s="248"/>
      <c r="CK57" s="248"/>
      <c r="CL57" s="248"/>
      <c r="CM57" s="248"/>
      <c r="CN57" s="248"/>
      <c r="CO57" s="248"/>
      <c r="CP57" s="248"/>
      <c r="CQ57" s="248"/>
      <c r="CR57" s="248"/>
      <c r="CS57" s="248" t="s">
        <v>5</v>
      </c>
      <c r="CT57" s="248" t="s">
        <v>5</v>
      </c>
      <c r="CU57" s="248"/>
      <c r="CV57" s="248"/>
      <c r="CW57" s="248" t="s">
        <v>5</v>
      </c>
      <c r="CX57" s="248" t="s">
        <v>5</v>
      </c>
      <c r="CY57" s="248"/>
      <c r="CZ57" s="248"/>
      <c r="DA57" s="249" t="s">
        <v>5</v>
      </c>
      <c r="DB57" s="249" t="s">
        <v>5</v>
      </c>
      <c r="DC57" s="249"/>
      <c r="DD57" s="249"/>
      <c r="DE57" s="249" t="s">
        <v>5</v>
      </c>
      <c r="DF57" s="249" t="s">
        <v>5</v>
      </c>
      <c r="DG57" s="248"/>
      <c r="DH57" s="248"/>
      <c r="DI57" s="249" t="s">
        <v>5</v>
      </c>
      <c r="DJ57" s="249" t="s">
        <v>5</v>
      </c>
      <c r="DK57" s="249"/>
      <c r="DL57" s="249"/>
      <c r="DM57" s="249" t="s">
        <v>5</v>
      </c>
      <c r="DN57" s="249" t="s">
        <v>5</v>
      </c>
      <c r="DO57" s="248"/>
      <c r="DP57" s="248"/>
      <c r="DQ57" s="249" t="s">
        <v>5</v>
      </c>
      <c r="DR57" s="249" t="s">
        <v>5</v>
      </c>
      <c r="DS57" s="249"/>
      <c r="DT57" s="249"/>
      <c r="DU57" s="249" t="s">
        <v>5</v>
      </c>
      <c r="DV57" s="249" t="s">
        <v>5</v>
      </c>
      <c r="DW57" s="248"/>
      <c r="DX57" s="248"/>
      <c r="DY57" s="249" t="s">
        <v>5</v>
      </c>
      <c r="DZ57" s="249" t="s">
        <v>71</v>
      </c>
      <c r="EA57" s="249" t="s">
        <v>5</v>
      </c>
      <c r="EB57" s="249"/>
      <c r="EC57" s="249"/>
      <c r="ED57" s="249" t="s">
        <v>5</v>
      </c>
      <c r="EE57" s="248">
        <f>SUM(DY57:ED57)</f>
        <v>0</v>
      </c>
      <c r="EF57" s="248"/>
      <c r="EG57" s="248"/>
      <c r="EH57" s="248"/>
      <c r="EI57" s="248"/>
      <c r="EJ57" s="248"/>
      <c r="EK57" s="248"/>
      <c r="EL57" s="248"/>
      <c r="EM57" s="248"/>
      <c r="EN57" s="248"/>
      <c r="EO57" s="248" t="s">
        <v>5</v>
      </c>
      <c r="EP57" s="248" t="s">
        <v>71</v>
      </c>
      <c r="EQ57" s="248" t="s">
        <v>5</v>
      </c>
      <c r="ER57" s="248"/>
      <c r="ES57" s="248"/>
      <c r="ET57" s="248" t="s">
        <v>5</v>
      </c>
      <c r="EU57" s="248"/>
      <c r="EV57" s="248"/>
      <c r="EW57" s="248" t="s">
        <v>5</v>
      </c>
      <c r="EX57" s="248" t="s">
        <v>5</v>
      </c>
      <c r="EY57" s="248"/>
      <c r="EZ57" s="248"/>
      <c r="FA57" s="248" t="s">
        <v>5</v>
      </c>
      <c r="FB57" s="248" t="s">
        <v>5</v>
      </c>
      <c r="FC57" s="248"/>
      <c r="FD57" s="248"/>
      <c r="FE57" s="248"/>
      <c r="FF57" s="248"/>
      <c r="FG57" s="248"/>
      <c r="FH57" s="248"/>
      <c r="FI57" s="248"/>
      <c r="FJ57" s="236"/>
      <c r="FK57" s="236"/>
      <c r="FL57" s="236"/>
      <c r="FM57" s="236"/>
    </row>
    <row r="58" spans="1:169" x14ac:dyDescent="0.2">
      <c r="A58" s="602"/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/>
      <c r="X58" s="602"/>
      <c r="Y58" s="602"/>
      <c r="Z58" s="602"/>
      <c r="AA58" s="602"/>
    </row>
    <row r="59" spans="1:169" x14ac:dyDescent="0.2">
      <c r="AE59" s="599"/>
      <c r="AF59" s="599"/>
      <c r="AG59" s="599"/>
      <c r="AH59" s="599"/>
      <c r="AI59" s="599"/>
      <c r="AJ59" s="599"/>
      <c r="AK59" s="599"/>
      <c r="AL59" s="599"/>
      <c r="AM59" s="599"/>
      <c r="AN59" s="599"/>
      <c r="AO59" s="599"/>
      <c r="AP59" s="599"/>
      <c r="AQ59" s="599"/>
      <c r="AR59" s="599"/>
    </row>
    <row r="60" spans="1:169" x14ac:dyDescent="0.2">
      <c r="AE60" s="599"/>
      <c r="AF60" s="599"/>
      <c r="AG60" s="599"/>
      <c r="AH60" s="599"/>
      <c r="AI60" s="599"/>
      <c r="AJ60" s="599"/>
      <c r="AK60" s="599"/>
      <c r="AL60" s="599"/>
      <c r="AM60" s="599"/>
      <c r="AN60" s="599"/>
      <c r="AO60" s="599"/>
      <c r="AP60" s="599"/>
      <c r="AQ60" s="599"/>
      <c r="AR60" s="599"/>
    </row>
    <row r="61" spans="1:169" x14ac:dyDescent="0.2">
      <c r="AE61" s="599"/>
      <c r="AF61" s="599"/>
      <c r="AG61" s="599"/>
      <c r="AH61" s="599"/>
      <c r="AI61" s="599"/>
      <c r="AJ61" s="599"/>
      <c r="AK61" s="599"/>
      <c r="AL61" s="599"/>
      <c r="AM61" s="599"/>
      <c r="AN61" s="599"/>
      <c r="AO61" s="599"/>
      <c r="AP61" s="599"/>
      <c r="AQ61" s="599"/>
      <c r="AR61" s="599"/>
    </row>
  </sheetData>
  <sheetProtection sheet="1" selectLockedCells="1"/>
  <mergeCells count="148">
    <mergeCell ref="A1:AA2"/>
    <mergeCell ref="A30:AA31"/>
    <mergeCell ref="P54:R54"/>
    <mergeCell ref="F4:J4"/>
    <mergeCell ref="P25:R25"/>
    <mergeCell ref="F33:J33"/>
    <mergeCell ref="X6:Z6"/>
    <mergeCell ref="X35:Z35"/>
    <mergeCell ref="P55:U55"/>
    <mergeCell ref="O38:P38"/>
    <mergeCell ref="O39:P39"/>
    <mergeCell ref="I39:N39"/>
    <mergeCell ref="I40:N40"/>
    <mergeCell ref="I41:N41"/>
    <mergeCell ref="Q40:Y40"/>
    <mergeCell ref="A41:B41"/>
    <mergeCell ref="F40:H40"/>
    <mergeCell ref="C41:E41"/>
    <mergeCell ref="C40:E40"/>
    <mergeCell ref="A55:B55"/>
    <mergeCell ref="O51:V51"/>
    <mergeCell ref="O52:V52"/>
    <mergeCell ref="F38:H38"/>
    <mergeCell ref="I38:N38"/>
    <mergeCell ref="A57:B57"/>
    <mergeCell ref="C55:D55"/>
    <mergeCell ref="A56:B56"/>
    <mergeCell ref="C56:D56"/>
    <mergeCell ref="C57:D57"/>
    <mergeCell ref="C39:E39"/>
    <mergeCell ref="A26:B26"/>
    <mergeCell ref="C26:D26"/>
    <mergeCell ref="A28:B28"/>
    <mergeCell ref="C28:D28"/>
    <mergeCell ref="A27:B27"/>
    <mergeCell ref="A40:B40"/>
    <mergeCell ref="A39:B39"/>
    <mergeCell ref="A54:B54"/>
    <mergeCell ref="C54:D54"/>
    <mergeCell ref="C38:E38"/>
    <mergeCell ref="A38:B38"/>
    <mergeCell ref="AC19:AD19"/>
    <mergeCell ref="I9:N9"/>
    <mergeCell ref="C9:E9"/>
    <mergeCell ref="I12:N12"/>
    <mergeCell ref="C11:E11"/>
    <mergeCell ref="Q12:Y12"/>
    <mergeCell ref="Q39:Y39"/>
    <mergeCell ref="Z38:AA38"/>
    <mergeCell ref="Z12:AA12"/>
    <mergeCell ref="Z39:AA39"/>
    <mergeCell ref="Q38:Y38"/>
    <mergeCell ref="X14:AA14"/>
    <mergeCell ref="R14:V14"/>
    <mergeCell ref="M16:Q16"/>
    <mergeCell ref="M17:Q17"/>
    <mergeCell ref="Z9:AA9"/>
    <mergeCell ref="O9:P9"/>
    <mergeCell ref="Q9:Y9"/>
    <mergeCell ref="Z41:AA41"/>
    <mergeCell ref="O41:P41"/>
    <mergeCell ref="Q41:Y41"/>
    <mergeCell ref="R43:V43"/>
    <mergeCell ref="Q11:Y11"/>
    <mergeCell ref="Z40:AA40"/>
    <mergeCell ref="F39:H39"/>
    <mergeCell ref="F41:H41"/>
    <mergeCell ref="F8:H8"/>
    <mergeCell ref="I8:N8"/>
    <mergeCell ref="Z8:AA8"/>
    <mergeCell ref="G17:K17"/>
    <mergeCell ref="G18:K18"/>
    <mergeCell ref="G19:K19"/>
    <mergeCell ref="G20:K20"/>
    <mergeCell ref="G21:K21"/>
    <mergeCell ref="F35:K35"/>
    <mergeCell ref="AC48:AD48"/>
    <mergeCell ref="O8:P8"/>
    <mergeCell ref="Q8:Y8"/>
    <mergeCell ref="C37:E37"/>
    <mergeCell ref="F37:H37"/>
    <mergeCell ref="I37:N37"/>
    <mergeCell ref="Q10:Y10"/>
    <mergeCell ref="O12:P12"/>
    <mergeCell ref="I10:N10"/>
    <mergeCell ref="C10:E10"/>
    <mergeCell ref="F10:H10"/>
    <mergeCell ref="Z37:AA37"/>
    <mergeCell ref="P26:U26"/>
    <mergeCell ref="O22:V22"/>
    <mergeCell ref="O23:V23"/>
    <mergeCell ref="T33:Y33"/>
    <mergeCell ref="Q37:Y37"/>
    <mergeCell ref="O37:P37"/>
    <mergeCell ref="X43:AA43"/>
    <mergeCell ref="Z10:AA10"/>
    <mergeCell ref="K25:N25"/>
    <mergeCell ref="K27:N27"/>
    <mergeCell ref="K28:N28"/>
    <mergeCell ref="O40:P40"/>
    <mergeCell ref="A11:B11"/>
    <mergeCell ref="Z11:AA11"/>
    <mergeCell ref="O11:P11"/>
    <mergeCell ref="O10:P10"/>
    <mergeCell ref="I11:N11"/>
    <mergeCell ref="C27:D27"/>
    <mergeCell ref="T4:Y4"/>
    <mergeCell ref="F6:K6"/>
    <mergeCell ref="C8:E8"/>
    <mergeCell ref="M19:Q19"/>
    <mergeCell ref="M20:Q20"/>
    <mergeCell ref="M21:Q21"/>
    <mergeCell ref="A9:B9"/>
    <mergeCell ref="F12:H12"/>
    <mergeCell ref="C12:E12"/>
    <mergeCell ref="A25:B25"/>
    <mergeCell ref="C25:D25"/>
    <mergeCell ref="F9:H9"/>
    <mergeCell ref="F11:H11"/>
    <mergeCell ref="A12:B12"/>
    <mergeCell ref="A10:B10"/>
    <mergeCell ref="E25:I25"/>
    <mergeCell ref="G16:K16"/>
    <mergeCell ref="M18:Q18"/>
    <mergeCell ref="K57:N57"/>
    <mergeCell ref="E54:I54"/>
    <mergeCell ref="E55:I55"/>
    <mergeCell ref="E56:I56"/>
    <mergeCell ref="E57:I57"/>
    <mergeCell ref="E26:I26"/>
    <mergeCell ref="E27:I27"/>
    <mergeCell ref="E28:I28"/>
    <mergeCell ref="K54:N54"/>
    <mergeCell ref="K55:N55"/>
    <mergeCell ref="K56:N56"/>
    <mergeCell ref="G47:K47"/>
    <mergeCell ref="G48:K48"/>
    <mergeCell ref="G49:K49"/>
    <mergeCell ref="G50:K50"/>
    <mergeCell ref="M45:Q45"/>
    <mergeCell ref="M46:Q46"/>
    <mergeCell ref="M47:Q47"/>
    <mergeCell ref="M48:Q48"/>
    <mergeCell ref="M49:Q49"/>
    <mergeCell ref="M50:Q50"/>
    <mergeCell ref="G45:K45"/>
    <mergeCell ref="G46:K46"/>
    <mergeCell ref="K26:N26"/>
  </mergeCells>
  <phoneticPr fontId="0" type="noConversion"/>
  <conditionalFormatting sqref="D34:Z34 D33:F33 K33:Z33 D35:T35">
    <cfRule type="cellIs" dxfId="17" priority="3" stopIfTrue="1" operator="equal">
      <formula>0</formula>
    </cfRule>
  </conditionalFormatting>
  <conditionalFormatting sqref="A16:Q21 W16:AA21 A45:Q50 W45:AA50 S25 V25:AA26 U27:AA27 S54:AA54 O57:AA57 U56:AA56 P55:AA55 A3:AA3 A1 A32:AA32 A29:AA29 A30 A36:AA44 A33:C35 A5:AA5 A4:F4 K4:AA4 A7:AA15 AA6 A6:T6 A51:AA52 O53:AA53 O54:O55 A54:N57 A22:AA23 O24:AA24 O25:P25 O26:U26 A25:N28 O28:AA28 AA33:AA35">
    <cfRule type="cellIs" dxfId="16" priority="7" stopIfTrue="1" operator="equal">
      <formula>0</formula>
    </cfRule>
  </conditionalFormatting>
  <conditionalFormatting sqref="P54">
    <cfRule type="cellIs" dxfId="15" priority="6" stopIfTrue="1" operator="equal">
      <formula>0</formula>
    </cfRule>
  </conditionalFormatting>
  <conditionalFormatting sqref="E17:E21">
    <cfRule type="expression" dxfId="14" priority="5">
      <formula>$E$16=0</formula>
    </cfRule>
  </conditionalFormatting>
  <conditionalFormatting sqref="E46:E50">
    <cfRule type="expression" dxfId="13" priority="4">
      <formula>$E$45=0</formula>
    </cfRule>
  </conditionalFormatting>
  <conditionalFormatting sqref="U6:X6">
    <cfRule type="cellIs" dxfId="12" priority="2" stopIfTrue="1" operator="equal">
      <formula>0</formula>
    </cfRule>
  </conditionalFormatting>
  <conditionalFormatting sqref="U35:X35">
    <cfRule type="cellIs" dxfId="11" priority="1" stopIfTrue="1" operator="equal">
      <formula>0</formula>
    </cfRule>
  </conditionalFormatting>
  <printOptions horizontalCentered="1" verticalCentered="1"/>
  <pageMargins left="0.15" right="0.19" top="0.14000000000000001" bottom="0.39370078740157483" header="0.15" footer="0.4921259845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92D050"/>
    <pageSetUpPr fitToPage="1"/>
  </sheetPr>
  <dimension ref="A1:FM58"/>
  <sheetViews>
    <sheetView showGridLines="0" view="pageBreakPreview" topLeftCell="A25" zoomScale="60" zoomScaleNormal="65" workbookViewId="0">
      <selection activeCell="C40" sqref="C40:E40"/>
    </sheetView>
  </sheetViews>
  <sheetFormatPr baseColWidth="10" defaultColWidth="11.42578125" defaultRowHeight="12.75" x14ac:dyDescent="0.2"/>
  <cols>
    <col min="1" max="3" width="2.7109375" style="599" customWidth="1"/>
    <col min="4" max="4" width="4.7109375" style="599" customWidth="1"/>
    <col min="5" max="5" width="9.85546875" style="599" customWidth="1"/>
    <col min="6" max="6" width="6.7109375" style="599" customWidth="1"/>
    <col min="7" max="7" width="3.7109375" style="599" customWidth="1"/>
    <col min="8" max="11" width="7.7109375" style="599" customWidth="1"/>
    <col min="12" max="12" width="11.42578125" style="599"/>
    <col min="13" max="16" width="7.7109375" style="599" customWidth="1"/>
    <col min="17" max="17" width="3.7109375" style="599" customWidth="1"/>
    <col min="18" max="22" width="7.85546875" style="599" customWidth="1"/>
    <col min="23" max="23" width="1.7109375" style="599" customWidth="1"/>
    <col min="24" max="27" width="6.85546875" style="599" customWidth="1"/>
    <col min="28" max="28" width="11.42578125" style="599"/>
    <col min="29" max="31" width="11.42578125" style="235"/>
    <col min="32" max="47" width="5.7109375" style="235" customWidth="1"/>
    <col min="48" max="48" width="7.42578125" style="235" customWidth="1"/>
    <col min="49" max="59" width="5.7109375" style="235" customWidth="1"/>
    <col min="60" max="60" width="20.42578125" style="235" customWidth="1"/>
    <col min="61" max="61" width="5.7109375" style="235" customWidth="1"/>
    <col min="62" max="62" width="7.28515625" style="235" customWidth="1"/>
    <col min="63" max="65" width="5.7109375" style="235" customWidth="1"/>
    <col min="66" max="66" width="12.140625" style="235" customWidth="1"/>
    <col min="67" max="67" width="7.28515625" style="235" customWidth="1"/>
    <col min="68" max="165" width="5.7109375" style="235" customWidth="1"/>
    <col min="166" max="169" width="11.42578125" style="235"/>
    <col min="170" max="16384" width="11.42578125" style="599"/>
  </cols>
  <sheetData>
    <row r="1" spans="1:169" ht="21.95" customHeight="1" x14ac:dyDescent="0.2">
      <c r="A1" s="891" t="str">
        <f>liste!$A$4</f>
        <v>Circuit décathlon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</row>
    <row r="2" spans="1:169" ht="21.95" customHeight="1" x14ac:dyDescent="0.2">
      <c r="A2" s="891"/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</row>
    <row r="3" spans="1:169" ht="21.95" customHeight="1" x14ac:dyDescent="0.2">
      <c r="A3" s="502"/>
      <c r="B3" s="503"/>
      <c r="C3" s="504"/>
      <c r="D3" s="504"/>
      <c r="E3" s="504"/>
      <c r="F3" s="504"/>
      <c r="G3" s="503"/>
      <c r="H3" s="505"/>
      <c r="I3" s="506"/>
      <c r="J3" s="506"/>
      <c r="K3" s="506"/>
      <c r="L3" s="507"/>
      <c r="M3" s="506"/>
      <c r="N3" s="506"/>
      <c r="O3" s="508"/>
      <c r="P3" s="508"/>
      <c r="Q3" s="508"/>
      <c r="R3" s="508"/>
      <c r="S3" s="508"/>
      <c r="T3" s="504"/>
      <c r="U3" s="505"/>
      <c r="V3" s="505"/>
      <c r="W3" s="504"/>
      <c r="X3" s="504"/>
      <c r="Y3" s="504"/>
      <c r="Z3" s="504"/>
      <c r="AA3" s="502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</row>
    <row r="4" spans="1:169" ht="21.95" customHeight="1" x14ac:dyDescent="0.2">
      <c r="A4" s="503"/>
      <c r="B4" s="503"/>
      <c r="C4" s="504"/>
      <c r="D4" s="503"/>
      <c r="E4" s="509" t="s">
        <v>6</v>
      </c>
      <c r="F4" s="894" t="str">
        <f>liste!$A$5</f>
        <v>Champagné</v>
      </c>
      <c r="G4" s="894"/>
      <c r="H4" s="894"/>
      <c r="I4" s="894"/>
      <c r="J4" s="894"/>
      <c r="K4" s="506"/>
      <c r="L4" s="506"/>
      <c r="M4" s="506"/>
      <c r="N4" s="508"/>
      <c r="O4" s="508"/>
      <c r="P4" s="508"/>
      <c r="Q4" s="508"/>
      <c r="R4" s="508"/>
      <c r="S4" s="509" t="s">
        <v>7</v>
      </c>
      <c r="T4" s="846">
        <f>liste!$A$7</f>
        <v>43421</v>
      </c>
      <c r="U4" s="846"/>
      <c r="V4" s="846"/>
      <c r="W4" s="846"/>
      <c r="X4" s="846"/>
      <c r="Y4" s="846"/>
      <c r="Z4" s="510"/>
      <c r="AA4" s="50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</row>
    <row r="5" spans="1:169" ht="21.95" customHeight="1" x14ac:dyDescent="0.2">
      <c r="A5" s="503"/>
      <c r="B5" s="503"/>
      <c r="C5" s="503"/>
      <c r="D5" s="503"/>
      <c r="E5" s="503"/>
      <c r="F5" s="503"/>
      <c r="G5" s="506"/>
      <c r="H5" s="506"/>
      <c r="I5" s="506"/>
      <c r="J5" s="506"/>
      <c r="K5" s="506"/>
      <c r="L5" s="506"/>
      <c r="M5" s="506"/>
      <c r="N5" s="508"/>
      <c r="O5" s="508"/>
      <c r="P5" s="508"/>
      <c r="Q5" s="508"/>
      <c r="R5" s="508"/>
      <c r="S5" s="508"/>
      <c r="T5" s="508"/>
      <c r="U5" s="508"/>
      <c r="V5" s="506"/>
      <c r="W5" s="504"/>
      <c r="X5" s="504"/>
      <c r="Y5" s="504"/>
      <c r="Z5" s="506"/>
      <c r="AA5" s="50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</row>
    <row r="6" spans="1:169" ht="21.95" customHeight="1" x14ac:dyDescent="0.2">
      <c r="A6" s="502"/>
      <c r="B6" s="503"/>
      <c r="C6" s="503"/>
      <c r="D6" s="503"/>
      <c r="E6" s="509" t="s">
        <v>11</v>
      </c>
      <c r="F6" s="885" t="str">
        <f>liste!$A$6</f>
        <v>Minimes</v>
      </c>
      <c r="G6" s="885"/>
      <c r="H6" s="885"/>
      <c r="I6" s="885"/>
      <c r="J6" s="885"/>
      <c r="K6" s="885"/>
      <c r="L6" s="511" t="s">
        <v>2</v>
      </c>
      <c r="M6" s="512" t="s">
        <v>74</v>
      </c>
      <c r="N6" s="504"/>
      <c r="O6" s="513" t="s">
        <v>287</v>
      </c>
      <c r="P6" s="503"/>
      <c r="Q6" s="512">
        <f>Rens!C13</f>
        <v>0</v>
      </c>
      <c r="R6" s="503"/>
      <c r="S6" s="503"/>
      <c r="T6" s="508"/>
      <c r="U6" s="513"/>
      <c r="V6" s="514" t="s">
        <v>171</v>
      </c>
      <c r="W6" s="504"/>
      <c r="X6" s="895" t="str">
        <f>Rens!$E$1</f>
        <v>2018/2019</v>
      </c>
      <c r="Y6" s="895"/>
      <c r="Z6" s="895"/>
      <c r="AA6" s="511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</row>
    <row r="7" spans="1:169" ht="21.95" customHeight="1" thickBot="1" x14ac:dyDescent="0.25">
      <c r="A7" s="503"/>
      <c r="B7" s="503"/>
      <c r="C7" s="503"/>
      <c r="D7" s="503"/>
      <c r="E7" s="503"/>
      <c r="F7" s="503"/>
      <c r="G7" s="503"/>
      <c r="H7" s="506"/>
      <c r="I7" s="506"/>
      <c r="J7" s="506"/>
      <c r="K7" s="506"/>
      <c r="L7" s="506"/>
      <c r="M7" s="506"/>
      <c r="N7" s="506"/>
      <c r="O7" s="508"/>
      <c r="P7" s="508"/>
      <c r="Q7" s="508"/>
      <c r="R7" s="508"/>
      <c r="S7" s="508"/>
      <c r="T7" s="508"/>
      <c r="U7" s="508"/>
      <c r="V7" s="508"/>
      <c r="W7" s="508"/>
      <c r="X7" s="506"/>
      <c r="Y7" s="506"/>
      <c r="Z7" s="506"/>
      <c r="AA7" s="506"/>
      <c r="AC7" s="236"/>
      <c r="AD7" s="236"/>
      <c r="AE7" s="237" t="s">
        <v>58</v>
      </c>
      <c r="AF7" s="238"/>
      <c r="AG7" s="238"/>
      <c r="AH7" s="238"/>
      <c r="AI7" s="239" t="s">
        <v>22</v>
      </c>
      <c r="AJ7" s="237" t="s">
        <v>5</v>
      </c>
      <c r="AK7" s="238"/>
      <c r="AL7" s="237" t="s">
        <v>23</v>
      </c>
      <c r="AM7" s="238"/>
      <c r="AN7" s="238"/>
      <c r="AO7" s="238"/>
      <c r="AP7" s="238"/>
      <c r="AQ7" s="238" t="str">
        <f>IF(AI7&lt;&gt;" ",AI7," ")</f>
        <v>IG1</v>
      </c>
      <c r="AR7" s="238"/>
      <c r="AS7" s="240"/>
      <c r="AT7" s="241"/>
      <c r="AU7" s="241"/>
      <c r="AV7" s="241"/>
      <c r="AW7" s="241"/>
      <c r="AX7" s="241"/>
      <c r="AY7" s="241" t="s">
        <v>5</v>
      </c>
      <c r="AZ7" s="241"/>
      <c r="BA7" s="241" t="s">
        <v>24</v>
      </c>
      <c r="BB7" s="241"/>
      <c r="BC7" s="241"/>
      <c r="BD7" s="241"/>
      <c r="BE7" s="241"/>
      <c r="BF7" s="241"/>
      <c r="BG7" s="241"/>
      <c r="BH7" s="242" t="s">
        <v>10</v>
      </c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36"/>
      <c r="FK7" s="236"/>
      <c r="FL7" s="236"/>
      <c r="FM7" s="236"/>
    </row>
    <row r="8" spans="1:169" ht="24.95" customHeight="1" thickBot="1" x14ac:dyDescent="0.25">
      <c r="A8" s="511"/>
      <c r="B8" s="511"/>
      <c r="C8" s="836" t="s">
        <v>8</v>
      </c>
      <c r="D8" s="838"/>
      <c r="E8" s="837"/>
      <c r="F8" s="836" t="s">
        <v>16</v>
      </c>
      <c r="G8" s="838"/>
      <c r="H8" s="837"/>
      <c r="I8" s="836" t="s">
        <v>20</v>
      </c>
      <c r="J8" s="838"/>
      <c r="K8" s="838"/>
      <c r="L8" s="838"/>
      <c r="M8" s="838"/>
      <c r="N8" s="837"/>
      <c r="O8" s="836" t="s">
        <v>4</v>
      </c>
      <c r="P8" s="837"/>
      <c r="Q8" s="836" t="s">
        <v>12</v>
      </c>
      <c r="R8" s="838"/>
      <c r="S8" s="838"/>
      <c r="T8" s="838"/>
      <c r="U8" s="838"/>
      <c r="V8" s="838"/>
      <c r="W8" s="838"/>
      <c r="X8" s="838"/>
      <c r="Y8" s="837"/>
      <c r="Z8" s="836" t="s">
        <v>286</v>
      </c>
      <c r="AA8" s="837"/>
      <c r="AC8" s="236"/>
      <c r="AD8" s="236"/>
      <c r="AE8" s="237" t="s">
        <v>5</v>
      </c>
      <c r="AF8" s="237"/>
      <c r="AG8" s="239" t="s">
        <v>14</v>
      </c>
      <c r="AH8" s="237"/>
      <c r="AI8" s="237"/>
      <c r="AJ8" s="237"/>
      <c r="AK8" s="237"/>
      <c r="AL8" s="237" t="s">
        <v>5</v>
      </c>
      <c r="AM8" s="237"/>
      <c r="AN8" s="238"/>
      <c r="AO8" s="238"/>
      <c r="AP8" s="238"/>
      <c r="AQ8" s="238"/>
      <c r="AR8" s="238"/>
      <c r="AS8" s="240"/>
      <c r="AT8" s="241"/>
      <c r="AU8" s="241"/>
      <c r="AV8" s="241"/>
      <c r="AW8" s="241"/>
      <c r="AX8" s="241"/>
      <c r="AY8" s="241" t="s">
        <v>10</v>
      </c>
      <c r="AZ8" s="241"/>
      <c r="BA8" s="241" t="s">
        <v>25</v>
      </c>
      <c r="BB8" s="242" t="s">
        <v>26</v>
      </c>
      <c r="BC8" s="242" t="s">
        <v>27</v>
      </c>
      <c r="BD8" s="242" t="s">
        <v>28</v>
      </c>
      <c r="BE8" s="242" t="s">
        <v>29</v>
      </c>
      <c r="BF8" s="241" t="s">
        <v>30</v>
      </c>
      <c r="BG8" s="241"/>
      <c r="BH8" s="242" t="s">
        <v>31</v>
      </c>
      <c r="BI8" s="241"/>
      <c r="BJ8" s="241"/>
      <c r="BK8" s="241" t="s">
        <v>32</v>
      </c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  <c r="EG8" s="241"/>
      <c r="EH8" s="241"/>
      <c r="EI8" s="241"/>
      <c r="EJ8" s="241"/>
      <c r="EK8" s="241"/>
      <c r="EL8" s="241"/>
      <c r="EM8" s="241"/>
      <c r="EN8" s="241"/>
      <c r="EO8" s="241"/>
      <c r="EP8" s="241"/>
      <c r="EQ8" s="241"/>
      <c r="ER8" s="241"/>
      <c r="ES8" s="241"/>
      <c r="ET8" s="241"/>
      <c r="EU8" s="241"/>
      <c r="EV8" s="241"/>
      <c r="EW8" s="241"/>
      <c r="EX8" s="241"/>
      <c r="EY8" s="241"/>
      <c r="EZ8" s="241"/>
      <c r="FA8" s="241"/>
      <c r="FB8" s="241"/>
      <c r="FC8" s="241"/>
      <c r="FD8" s="241"/>
      <c r="FE8" s="241"/>
      <c r="FF8" s="241"/>
      <c r="FG8" s="241"/>
      <c r="FH8" s="241"/>
      <c r="FI8" s="241"/>
      <c r="FJ8" s="236"/>
      <c r="FK8" s="236"/>
      <c r="FL8" s="236"/>
      <c r="FM8" s="236"/>
    </row>
    <row r="9" spans="1:169" ht="27.95" customHeight="1" x14ac:dyDescent="0.2">
      <c r="A9" s="807">
        <v>1</v>
      </c>
      <c r="B9" s="808"/>
      <c r="C9" s="862">
        <f>liste!A15</f>
        <v>7</v>
      </c>
      <c r="D9" s="863"/>
      <c r="E9" s="864"/>
      <c r="F9" s="811">
        <f>IF(C9="","",VLOOKUP(C9,liste!$A$9:$G$145,7,FALSE))</f>
        <v>7223346</v>
      </c>
      <c r="G9" s="812" t="e">
        <f>IF(F9="","",VLOOKUP(F9,liste!$A$9:$G$145,7,FALSE))</f>
        <v>#N/A</v>
      </c>
      <c r="H9" s="813" t="e">
        <f>IF(G9="","",VLOOKUP(G9,liste!$A$9:$G$145,7,FALSE))</f>
        <v>#N/A</v>
      </c>
      <c r="I9" s="849" t="str">
        <f>IF(C9="","",VLOOKUP(C9,liste!$A$9:$G$145,2,FALSE))</f>
        <v>DINOCHAU Noé</v>
      </c>
      <c r="J9" s="850"/>
      <c r="K9" s="850"/>
      <c r="L9" s="850"/>
      <c r="M9" s="850"/>
      <c r="N9" s="851"/>
      <c r="O9" s="883">
        <f>IF(C9="","",VLOOKUP(C9,liste!$A$9:$G$145,4,FALSE))</f>
        <v>5</v>
      </c>
      <c r="P9" s="884" t="str">
        <f>IF(J9="","",VLOOKUP(J9,liste!$A$9:$G$145,4,FALSE))</f>
        <v/>
      </c>
      <c r="Q9" s="857" t="str">
        <f>IF(C9="","",VLOOKUP(C9,liste!$A$9:$G$145,3,FALSE))</f>
        <v>COULAINES JS</v>
      </c>
      <c r="R9" s="858"/>
      <c r="S9" s="858"/>
      <c r="T9" s="858"/>
      <c r="U9" s="858"/>
      <c r="V9" s="858"/>
      <c r="W9" s="858"/>
      <c r="X9" s="858"/>
      <c r="Y9" s="859"/>
      <c r="Z9" s="857">
        <f>IF(C9="","",VLOOKUP(C9,liste!$A$9:$G$145,6,FALSE))</f>
        <v>500</v>
      </c>
      <c r="AA9" s="859" t="str">
        <f>IF(U9="","",VLOOKUP(U9,liste!$A$9:$G$145,4,FALSE))</f>
        <v/>
      </c>
      <c r="AB9" s="600" t="str">
        <f>"G"&amp;X23&amp;C9</f>
        <v>G7</v>
      </c>
      <c r="AC9" s="236"/>
      <c r="AD9" s="236"/>
      <c r="AE9" s="237" t="s">
        <v>33</v>
      </c>
      <c r="AF9" s="239">
        <v>1</v>
      </c>
      <c r="AG9" s="243">
        <f>C9</f>
        <v>7</v>
      </c>
      <c r="AH9" s="237" t="s">
        <v>5</v>
      </c>
      <c r="AI9" s="237" t="s">
        <v>5</v>
      </c>
      <c r="AJ9" s="237"/>
      <c r="AK9" s="237"/>
      <c r="AL9" s="237" t="s">
        <v>34</v>
      </c>
      <c r="AM9" s="237" t="e">
        <f>IF($BK$9=1,$AF$9,IF($BK$10=1,$AF$10,IF($BK$11=1,$AF$11,IF($BK$12=1,$AF$12,""))))</f>
        <v>#VALUE!</v>
      </c>
      <c r="AN9" s="238"/>
      <c r="AO9" s="244" t="e">
        <f>VLOOKUP(AM9,AF9:AG12,2)</f>
        <v>#VALUE!</v>
      </c>
      <c r="AP9" s="238"/>
      <c r="AQ9" s="238"/>
      <c r="AR9" s="238"/>
      <c r="AS9" s="240" t="s">
        <v>5</v>
      </c>
      <c r="AT9" s="241"/>
      <c r="AU9" s="241"/>
      <c r="AV9" s="245" t="e">
        <f>BH9</f>
        <v>#VALUE!</v>
      </c>
      <c r="AW9" s="241"/>
      <c r="AX9" s="241" t="s">
        <v>33</v>
      </c>
      <c r="AY9" s="241" t="e">
        <f>CF18</f>
        <v>#VALUE!</v>
      </c>
      <c r="AZ9" s="241"/>
      <c r="BA9" s="242" t="e">
        <f>IF(DE18&gt;0,CX18/DE18,IF(CX18&gt;0,CX18/1,0))</f>
        <v>#VALUE!</v>
      </c>
      <c r="BB9" s="242" t="e">
        <f>IF(DS18&gt;0,IF(BA9=0,0,DL18/DS18),IF(DL18&gt;0,DL18/1,0))</f>
        <v>#VALUE!</v>
      </c>
      <c r="BC9" s="241" t="e">
        <f>IF(BA9&lt;&gt;0,IF(EG18&gt;0,DZ18/EG18,0),0)</f>
        <v>#VALUE!</v>
      </c>
      <c r="BD9" s="241" t="s">
        <v>5</v>
      </c>
      <c r="BE9" s="242" t="e">
        <f>IF(EU18&gt;0,IF(BC9=0,0,EN18/EU18),IF(EN18&gt;0,EN18/1,0))</f>
        <v>#VALUE!</v>
      </c>
      <c r="BF9" s="242" t="e">
        <f>IF(BE9&lt;&gt;0,IF(FI18&gt;0,FB18/FI18,0),0)</f>
        <v>#VALUE!</v>
      </c>
      <c r="BG9" s="242" t="s">
        <v>33</v>
      </c>
      <c r="BH9" s="246" t="e">
        <f>AY9+BA9*0.01+BB9*0.0001+BC9*0.000001+BE9*0.00000001+BF9*0.0000000001</f>
        <v>#VALUE!</v>
      </c>
      <c r="BI9" s="241"/>
      <c r="BJ9" s="241"/>
      <c r="BK9" s="242" t="e">
        <f>RANK(BH9,BH9:BH15,)</f>
        <v>#VALUE!</v>
      </c>
      <c r="BL9" s="242"/>
      <c r="BM9" s="242"/>
      <c r="BN9" s="242"/>
      <c r="BO9" s="242" t="e">
        <f>IF(BH9=MIN(BH9:BH14),4,IF(BH9=MAX(BH9:BH14),1,0))</f>
        <v>#VALUE!</v>
      </c>
      <c r="BP9" s="242" t="e">
        <f>IF(BO9=0,BH9,0)</f>
        <v>#VALUE!</v>
      </c>
      <c r="BQ9" s="242" t="e">
        <f>IF(BP9&lt;&gt;0,IF(BP9=MAX(BP9:BP14),2,IF(BP9=MIN(BP9:BP14),3,0)),0)</f>
        <v>#VALUE!</v>
      </c>
      <c r="BR9" s="242" t="e">
        <f>IF(AND(BO9=0,BQ9=0),3,0)</f>
        <v>#VALUE!</v>
      </c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36"/>
      <c r="FK9" s="236"/>
      <c r="FL9" s="236"/>
      <c r="FM9" s="236"/>
    </row>
    <row r="10" spans="1:169" ht="27.95" customHeight="1" x14ac:dyDescent="0.2">
      <c r="A10" s="809">
        <v>2</v>
      </c>
      <c r="B10" s="810"/>
      <c r="C10" s="801">
        <f>liste!A18</f>
        <v>10</v>
      </c>
      <c r="D10" s="802"/>
      <c r="E10" s="803"/>
      <c r="F10" s="804">
        <f>IF(C10="","",VLOOKUP(C10,liste!$A$9:$G$145,7,FALSE))</f>
        <v>7223249</v>
      </c>
      <c r="G10" s="805" t="e">
        <f>IF(F10="","",VLOOKUP(F10,liste!$A$9:$G$145,7,FALSE))</f>
        <v>#N/A</v>
      </c>
      <c r="H10" s="806" t="e">
        <f>IF(G10="","",VLOOKUP(G10,liste!$A$9:$G$145,7,FALSE))</f>
        <v>#N/A</v>
      </c>
      <c r="I10" s="852" t="str">
        <f>IF(C10="","",VLOOKUP(C10,liste!$A$9:$G$145,2,FALSE))</f>
        <v>DORDAIN Sacha</v>
      </c>
      <c r="J10" s="853"/>
      <c r="K10" s="853"/>
      <c r="L10" s="853"/>
      <c r="M10" s="853"/>
      <c r="N10" s="854"/>
      <c r="O10" s="855">
        <f>IF(C10="","",VLOOKUP(C10,liste!$A$9:$G$145,4,FALSE))</f>
        <v>5</v>
      </c>
      <c r="P10" s="856" t="str">
        <f>IF(J10="","",VLOOKUP(J10,liste!$A$9:$G$145,4,FALSE))</f>
        <v/>
      </c>
      <c r="Q10" s="829" t="str">
        <f>IF(C10="","",VLOOKUP(C10,liste!$A$9:$G$145,3,FALSE))</f>
        <v>LE MANS ASPTT</v>
      </c>
      <c r="R10" s="830"/>
      <c r="S10" s="830"/>
      <c r="T10" s="830"/>
      <c r="U10" s="830"/>
      <c r="V10" s="830"/>
      <c r="W10" s="830"/>
      <c r="X10" s="830"/>
      <c r="Y10" s="831"/>
      <c r="Z10" s="829">
        <f>IF(C10="","",VLOOKUP(C10,liste!$A$9:$G$145,6,FALSE))</f>
        <v>500</v>
      </c>
      <c r="AA10" s="831" t="str">
        <f>IF(U10="","",VLOOKUP(U10,liste!$A$9:$G$145,4,FALSE))</f>
        <v/>
      </c>
      <c r="AB10" s="600" t="str">
        <f>"G"&amp;Y23&amp;C10</f>
        <v>G10</v>
      </c>
      <c r="AC10" s="236"/>
      <c r="AD10" s="236"/>
      <c r="AE10" s="237" t="s">
        <v>35</v>
      </c>
      <c r="AF10" s="239">
        <v>2</v>
      </c>
      <c r="AG10" s="243">
        <f>C10</f>
        <v>10</v>
      </c>
      <c r="AH10" s="237" t="s">
        <v>5</v>
      </c>
      <c r="AI10" s="237" t="s">
        <v>5</v>
      </c>
      <c r="AJ10" s="237"/>
      <c r="AK10" s="237"/>
      <c r="AL10" s="237" t="s">
        <v>59</v>
      </c>
      <c r="AM10" s="237" t="e">
        <f>IF($BK$9=2,$AF$9,IF($BK$10=2,$AF$10,IF($BK$11=2,$AF$11,IF($BK$12=2,$AF$12,""))))</f>
        <v>#VALUE!</v>
      </c>
      <c r="AN10" s="238"/>
      <c r="AO10" s="244" t="e">
        <f>VLOOKUP(AM10,AF9:AG12,2)</f>
        <v>#VALUE!</v>
      </c>
      <c r="AP10" s="238"/>
      <c r="AQ10" s="238"/>
      <c r="AR10" s="238"/>
      <c r="AS10" s="240" t="s">
        <v>5</v>
      </c>
      <c r="AT10" s="241"/>
      <c r="AU10" s="241"/>
      <c r="AV10" s="245" t="e">
        <f>BH10</f>
        <v>#VALUE!</v>
      </c>
      <c r="AW10" s="241"/>
      <c r="AX10" s="241" t="s">
        <v>35</v>
      </c>
      <c r="AY10" s="241" t="e">
        <f>CF19</f>
        <v>#VALUE!</v>
      </c>
      <c r="AZ10" s="241"/>
      <c r="BA10" s="242" t="e">
        <f>IF(DE19&gt;0,CX19/DE19,IF(CX19&gt;0,CX19/1,0))</f>
        <v>#VALUE!</v>
      </c>
      <c r="BB10" s="242" t="e">
        <f>IF(DS19&gt;0,IF(BA10=0,0,DL19/DS19),IF(DL19&gt;0,DL19/1,0))</f>
        <v>#VALUE!</v>
      </c>
      <c r="BC10" s="241" t="e">
        <f>IF(BA10&lt;&gt;0,IF(EG19&gt;0,DZ19/EG19,0),0)</f>
        <v>#VALUE!</v>
      </c>
      <c r="BD10" s="241" t="s">
        <v>5</v>
      </c>
      <c r="BE10" s="242" t="e">
        <f>IF(EU19&gt;0,IF(BC10=0,0,EN19/EU19),IF(EN19&gt;0,EN19/1,0))</f>
        <v>#VALUE!</v>
      </c>
      <c r="BF10" s="242" t="e">
        <f>IF(BE10&lt;&gt;0,IF(FI19&gt;0,FB19/FI19,0),0)</f>
        <v>#VALUE!</v>
      </c>
      <c r="BG10" s="242" t="s">
        <v>35</v>
      </c>
      <c r="BH10" s="246" t="e">
        <f>AY10+BA10*0.01+BB10*0.0001+BC10*0.000001+BE10*0.00000001+BF10*0.0000000001</f>
        <v>#VALUE!</v>
      </c>
      <c r="BI10" s="241"/>
      <c r="BJ10" s="241"/>
      <c r="BK10" s="242" t="e">
        <f>RANK(BH10,BH9:BH15,)</f>
        <v>#VALUE!</v>
      </c>
      <c r="BL10" s="242"/>
      <c r="BM10" s="242"/>
      <c r="BN10" s="242"/>
      <c r="BO10" s="242" t="e">
        <f>IF(BH10=MIN(BH9:BH14),4,IF(BH10=MAX(BH9:BH14),1,0))</f>
        <v>#VALUE!</v>
      </c>
      <c r="BP10" s="242" t="e">
        <f>IF(BO10=0,BH10,0)</f>
        <v>#VALUE!</v>
      </c>
      <c r="BQ10" s="242" t="e">
        <f>IF(BP10&lt;&gt;0,IF(BP10=MAX(BP9:BP14),2,IF(BP10=MIN(BP9:BP14),3,0)),0)</f>
        <v>#VALUE!</v>
      </c>
      <c r="BR10" s="242" t="e">
        <f>IF(AND(BO10=0,BQ10=0),3,0)</f>
        <v>#VALUE!</v>
      </c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36"/>
      <c r="FK10" s="236"/>
      <c r="FL10" s="236"/>
      <c r="FM10" s="236"/>
    </row>
    <row r="11" spans="1:169" ht="27.95" customHeight="1" x14ac:dyDescent="0.2">
      <c r="A11" s="809">
        <v>3</v>
      </c>
      <c r="B11" s="810"/>
      <c r="C11" s="801">
        <v>24</v>
      </c>
      <c r="D11" s="802"/>
      <c r="E11" s="803"/>
      <c r="F11" s="804">
        <f>IF(C11="","",VLOOKUP(C11,liste!$A$9:$G$145,7,FALSE))</f>
        <v>7223177</v>
      </c>
      <c r="G11" s="805" t="e">
        <f>IF(F11="","",VLOOKUP(F11,liste!$A$9:$G$145,7,FALSE))</f>
        <v>#N/A</v>
      </c>
      <c r="H11" s="806" t="e">
        <f>IF(G11="","",VLOOKUP(G11,liste!$A$9:$G$145,7,FALSE))</f>
        <v>#N/A</v>
      </c>
      <c r="I11" s="852" t="str">
        <f>IF(C11="","",VLOOKUP(C11,liste!$A$9:$G$145,2,FALSE))</f>
        <v>BOULARD  Neyl</v>
      </c>
      <c r="J11" s="853"/>
      <c r="K11" s="853"/>
      <c r="L11" s="853"/>
      <c r="M11" s="853"/>
      <c r="N11" s="854"/>
      <c r="O11" s="855">
        <f>IF(C11="","",VLOOKUP(C11,liste!$A$9:$G$145,4,FALSE))</f>
        <v>5</v>
      </c>
      <c r="P11" s="856" t="str">
        <f>IF(J11="","",VLOOKUP(J11,liste!$A$9:$G$145,4,FALSE))</f>
        <v/>
      </c>
      <c r="Q11" s="829" t="str">
        <f>IF(C11="","",VLOOKUP(C11,liste!$A$9:$G$145,3,FALSE))</f>
        <v>FOULLETOURTE T.T.</v>
      </c>
      <c r="R11" s="830"/>
      <c r="S11" s="830"/>
      <c r="T11" s="830"/>
      <c r="U11" s="830"/>
      <c r="V11" s="830"/>
      <c r="W11" s="830"/>
      <c r="X11" s="830"/>
      <c r="Y11" s="831"/>
      <c r="Z11" s="829">
        <f>IF(C11="","",VLOOKUP(C11,liste!$A$9:$G$145,6,FALSE))</f>
        <v>500</v>
      </c>
      <c r="AA11" s="831" t="str">
        <f>IF(U11="","",VLOOKUP(U11,liste!$A$9:$G$145,4,FALSE))</f>
        <v/>
      </c>
      <c r="AB11" s="600" t="str">
        <f>"G"&amp;Z23&amp;C11</f>
        <v>G24</v>
      </c>
      <c r="AC11" s="236"/>
      <c r="AD11" s="236"/>
      <c r="AE11" s="237" t="s">
        <v>36</v>
      </c>
      <c r="AF11" s="239">
        <v>3</v>
      </c>
      <c r="AG11" s="243">
        <f>C11</f>
        <v>24</v>
      </c>
      <c r="AH11" s="237" t="s">
        <v>5</v>
      </c>
      <c r="AI11" s="237" t="s">
        <v>5</v>
      </c>
      <c r="AJ11" s="237"/>
      <c r="AK11" s="237"/>
      <c r="AL11" s="237" t="s">
        <v>60</v>
      </c>
      <c r="AM11" s="237" t="e">
        <f>IF($BK$9=3,$AF$9,IF($BK$10=3,$AF$10,IF($BK$11=3,$AF$11,IF($BK$12=3,$AF$12,""))))</f>
        <v>#VALUE!</v>
      </c>
      <c r="AN11" s="238"/>
      <c r="AO11" s="244" t="e">
        <f>VLOOKUP(AM11,AF9:AG12,2)</f>
        <v>#VALUE!</v>
      </c>
      <c r="AP11" s="238"/>
      <c r="AQ11" s="238"/>
      <c r="AR11" s="238"/>
      <c r="AS11" s="240" t="s">
        <v>5</v>
      </c>
      <c r="AT11" s="241"/>
      <c r="AU11" s="241"/>
      <c r="AV11" s="245" t="e">
        <f>BH11</f>
        <v>#VALUE!</v>
      </c>
      <c r="AW11" s="241"/>
      <c r="AX11" s="241" t="s">
        <v>36</v>
      </c>
      <c r="AY11" s="241" t="e">
        <f>CF20</f>
        <v>#VALUE!</v>
      </c>
      <c r="AZ11" s="241"/>
      <c r="BA11" s="242" t="e">
        <f>IF(DE20&gt;0,CX20/DE20,IF(CX20&gt;0,CX20/1,0))</f>
        <v>#VALUE!</v>
      </c>
      <c r="BB11" s="242" t="e">
        <f>IF(DS20&gt;0,IF(BA11=0,0,DL20/DS20),IF(DL20&gt;0,DL20/1,0))</f>
        <v>#VALUE!</v>
      </c>
      <c r="BC11" s="241" t="e">
        <f>IF(BA11&lt;&gt;0,IF(EG20&gt;0,DZ20/EG20,0),0)</f>
        <v>#VALUE!</v>
      </c>
      <c r="BD11" s="241" t="s">
        <v>5</v>
      </c>
      <c r="BE11" s="242" t="e">
        <f>IF(EU20&gt;0,IF(BC11=0,0,EN20/EU20),IF(EN20&gt;0,EN20/1,0))</f>
        <v>#VALUE!</v>
      </c>
      <c r="BF11" s="242" t="e">
        <f>IF(BE11&lt;&gt;0,IF(FI20&gt;0,FB20/FI20,0),0)</f>
        <v>#VALUE!</v>
      </c>
      <c r="BG11" s="242" t="s">
        <v>36</v>
      </c>
      <c r="BH11" s="246" t="e">
        <f>AY11+BA11*0.01+BB11*0.0001+BC11*0.000001+BE11*0.00000001+BF11*0.0000000001</f>
        <v>#VALUE!</v>
      </c>
      <c r="BI11" s="241"/>
      <c r="BJ11" s="241"/>
      <c r="BK11" s="242" t="e">
        <f>RANK(BH11,BH9:BH15,)</f>
        <v>#VALUE!</v>
      </c>
      <c r="BL11" s="242"/>
      <c r="BM11" s="242"/>
      <c r="BN11" s="242"/>
      <c r="BO11" s="242" t="e">
        <f>IF(BH11=MIN(BH9:BH14),4,IF(BH11=MAX(BH9:BH14),1,0))</f>
        <v>#VALUE!</v>
      </c>
      <c r="BP11" s="242" t="e">
        <f>IF(BO11=0,BH11,0)</f>
        <v>#VALUE!</v>
      </c>
      <c r="BQ11" s="242" t="e">
        <f>IF(BP11&lt;&gt;0,IF(BP11=MAX(BP9:BP14),2,IF(BP11=MIN(BP9:BP14),3,0)),0)</f>
        <v>#VALUE!</v>
      </c>
      <c r="BR11" s="242" t="e">
        <f>IF(AND(BO11=0,BQ11=0),3,0)</f>
        <v>#VALUE!</v>
      </c>
      <c r="BS11" s="241"/>
      <c r="BT11" s="241"/>
      <c r="BU11" s="241"/>
      <c r="BV11" s="241"/>
      <c r="BW11" s="241"/>
      <c r="BX11" s="241"/>
      <c r="BY11" s="241"/>
      <c r="BZ11" s="241"/>
      <c r="CA11" s="241"/>
      <c r="CB11" s="241"/>
      <c r="CC11" s="241"/>
      <c r="CD11" s="241"/>
      <c r="CE11" s="241"/>
      <c r="CF11" s="241"/>
      <c r="CG11" s="241"/>
      <c r="CH11" s="241"/>
      <c r="CI11" s="241"/>
      <c r="CJ11" s="241"/>
      <c r="CK11" s="241"/>
      <c r="CL11" s="241"/>
      <c r="CM11" s="241"/>
      <c r="CN11" s="241"/>
      <c r="CO11" s="241"/>
      <c r="CP11" s="241"/>
      <c r="CQ11" s="241"/>
      <c r="CR11" s="241"/>
      <c r="CS11" s="241"/>
      <c r="CT11" s="241"/>
      <c r="CU11" s="241"/>
      <c r="CV11" s="241"/>
      <c r="CW11" s="241"/>
      <c r="CX11" s="241"/>
      <c r="CY11" s="241"/>
      <c r="CZ11" s="241"/>
      <c r="DA11" s="241"/>
      <c r="DB11" s="241"/>
      <c r="DC11" s="241"/>
      <c r="DD11" s="241"/>
      <c r="DE11" s="241"/>
      <c r="DF11" s="241"/>
      <c r="DG11" s="241"/>
      <c r="DH11" s="241"/>
      <c r="DI11" s="241"/>
      <c r="DJ11" s="241"/>
      <c r="DK11" s="241"/>
      <c r="DL11" s="241"/>
      <c r="DM11" s="241"/>
      <c r="DN11" s="241"/>
      <c r="DO11" s="241"/>
      <c r="DP11" s="241"/>
      <c r="DQ11" s="241"/>
      <c r="DR11" s="241"/>
      <c r="DS11" s="241"/>
      <c r="DT11" s="241"/>
      <c r="DU11" s="241"/>
      <c r="DV11" s="241"/>
      <c r="DW11" s="241"/>
      <c r="DX11" s="241"/>
      <c r="DY11" s="241"/>
      <c r="DZ11" s="241"/>
      <c r="EA11" s="241"/>
      <c r="EB11" s="241"/>
      <c r="EC11" s="241"/>
      <c r="ED11" s="241"/>
      <c r="EE11" s="241"/>
      <c r="EF11" s="241"/>
      <c r="EG11" s="241"/>
      <c r="EH11" s="241"/>
      <c r="EI11" s="241"/>
      <c r="EJ11" s="241"/>
      <c r="EK11" s="241"/>
      <c r="EL11" s="241"/>
      <c r="EM11" s="241"/>
      <c r="EN11" s="241"/>
      <c r="EO11" s="241"/>
      <c r="EP11" s="241"/>
      <c r="EQ11" s="241"/>
      <c r="ER11" s="241"/>
      <c r="ES11" s="241"/>
      <c r="ET11" s="241"/>
      <c r="EU11" s="241"/>
      <c r="EV11" s="241"/>
      <c r="EW11" s="241"/>
      <c r="EX11" s="241"/>
      <c r="EY11" s="241"/>
      <c r="EZ11" s="241"/>
      <c r="FA11" s="241"/>
      <c r="FB11" s="241"/>
      <c r="FC11" s="241"/>
      <c r="FD11" s="241"/>
      <c r="FE11" s="241"/>
      <c r="FF11" s="241"/>
      <c r="FG11" s="241"/>
      <c r="FH11" s="241"/>
      <c r="FI11" s="241"/>
      <c r="FJ11" s="236"/>
      <c r="FK11" s="236"/>
      <c r="FL11" s="236"/>
      <c r="FM11" s="236"/>
    </row>
    <row r="12" spans="1:169" ht="27.95" customHeight="1" thickBot="1" x14ac:dyDescent="0.25">
      <c r="A12" s="872">
        <v>4</v>
      </c>
      <c r="B12" s="873"/>
      <c r="C12" s="865">
        <f>liste!A34</f>
        <v>26</v>
      </c>
      <c r="D12" s="866"/>
      <c r="E12" s="867"/>
      <c r="F12" s="814">
        <f>IF(C12="","",VLOOKUP(C12,liste!$A$9:$G$145,7,FALSE))</f>
        <v>7223086</v>
      </c>
      <c r="G12" s="815" t="e">
        <f>IF(F12="","",VLOOKUP(F12,liste!$A$9:$G$145,7,FALSE))</f>
        <v>#N/A</v>
      </c>
      <c r="H12" s="816" t="e">
        <f>IF(G12="","",VLOOKUP(G12,liste!$A$9:$G$145,7,FALSE))</f>
        <v>#N/A</v>
      </c>
      <c r="I12" s="826" t="str">
        <f>IF(C12="","",VLOOKUP(C12,liste!$A$9:$G$145,2,FALSE))</f>
        <v>CORVAISIER Bastien</v>
      </c>
      <c r="J12" s="827"/>
      <c r="K12" s="827"/>
      <c r="L12" s="827"/>
      <c r="M12" s="827"/>
      <c r="N12" s="828"/>
      <c r="O12" s="841">
        <f>IF(C12="","",VLOOKUP(C12,liste!$A$9:$G$145,4,FALSE))</f>
        <v>5</v>
      </c>
      <c r="P12" s="842" t="str">
        <f>IF(J12="","",VLOOKUP(J12,liste!$A$9:$G$145,4,FALSE))</f>
        <v/>
      </c>
      <c r="Q12" s="843" t="str">
        <f>IF(C12="","",VLOOKUP(C12,liste!$A$9:$G$145,3,FALSE))</f>
        <v>MAMERS CS</v>
      </c>
      <c r="R12" s="844"/>
      <c r="S12" s="844"/>
      <c r="T12" s="844"/>
      <c r="U12" s="844"/>
      <c r="V12" s="844"/>
      <c r="W12" s="844"/>
      <c r="X12" s="844"/>
      <c r="Y12" s="845"/>
      <c r="Z12" s="843">
        <f>IF(C12="","",VLOOKUP(C12,liste!$A$9:$G$145,6,FALSE))</f>
        <v>500</v>
      </c>
      <c r="AA12" s="845" t="str">
        <f>IF(U12="","",VLOOKUP(U12,liste!$A$9:$G$145,4,FALSE))</f>
        <v/>
      </c>
      <c r="AB12" s="600" t="str">
        <f>"G"&amp;AA23&amp;C12</f>
        <v>G26</v>
      </c>
      <c r="AC12" s="236"/>
      <c r="AD12" s="236"/>
      <c r="AE12" s="237" t="s">
        <v>61</v>
      </c>
      <c r="AF12" s="239">
        <v>4</v>
      </c>
      <c r="AG12" s="243">
        <f>C12</f>
        <v>26</v>
      </c>
      <c r="AH12" s="237" t="s">
        <v>5</v>
      </c>
      <c r="AI12" s="237" t="s">
        <v>5</v>
      </c>
      <c r="AJ12" s="237"/>
      <c r="AK12" s="237"/>
      <c r="AL12" s="237" t="s">
        <v>62</v>
      </c>
      <c r="AM12" s="237" t="e">
        <f>IF($BK$9=4,$AF$9,IF($BK$10=4,$AF$10,IF($BK$11=4,$AF$11,IF($BK$12=4,$AF$12,""))))</f>
        <v>#VALUE!</v>
      </c>
      <c r="AN12" s="238"/>
      <c r="AO12" s="244" t="e">
        <f>VLOOKUP(AM12,AF9:AG12,2)</f>
        <v>#VALUE!</v>
      </c>
      <c r="AP12" s="238"/>
      <c r="AQ12" s="238"/>
      <c r="AR12" s="238"/>
      <c r="AS12" s="240" t="s">
        <v>5</v>
      </c>
      <c r="AT12" s="247"/>
      <c r="AU12" s="241"/>
      <c r="AV12" s="245" t="e">
        <f>BH12</f>
        <v>#VALUE!</v>
      </c>
      <c r="AW12" s="241"/>
      <c r="AX12" s="241" t="s">
        <v>61</v>
      </c>
      <c r="AY12" s="241" t="e">
        <f>CF21</f>
        <v>#VALUE!</v>
      </c>
      <c r="AZ12" s="241"/>
      <c r="BA12" s="242" t="e">
        <f>IF(DE21&gt;0,CX21/DE21,IF(CX21&gt;0,CX21/1,0))</f>
        <v>#VALUE!</v>
      </c>
      <c r="BB12" s="242" t="e">
        <f>IF(DS21&gt;0,IF(BA12=0,0,DL21/DS21),IF(DL21&gt;0,DL21/1,0))</f>
        <v>#VALUE!</v>
      </c>
      <c r="BC12" s="241" t="e">
        <f>IF(BA12&lt;&gt;0,IF(EG21&gt;0,DZ21/EG21,0),0)</f>
        <v>#VALUE!</v>
      </c>
      <c r="BD12" s="241" t="s">
        <v>5</v>
      </c>
      <c r="BE12" s="242" t="e">
        <f>IF(EU21&gt;0,IF(BC12=0,0,EN21/EU21),IF(EN21&gt;0,EN21/1,0))</f>
        <v>#VALUE!</v>
      </c>
      <c r="BF12" s="241" t="e">
        <f>IF(BE12&lt;&gt;0,IF(FI21&gt;0,FB21/FI21,0),0)</f>
        <v>#VALUE!</v>
      </c>
      <c r="BG12" s="242" t="s">
        <v>61</v>
      </c>
      <c r="BH12" s="246" t="e">
        <f>AY12+BA12*0.01+BB12*0.0001+BC12*0.000001+BE12*0.00000001+BF12*0.0000000001</f>
        <v>#VALUE!</v>
      </c>
      <c r="BI12" s="241"/>
      <c r="BJ12" s="241"/>
      <c r="BK12" s="242" t="e">
        <f>RANK(BH12,BH9:BH15,)</f>
        <v>#VALUE!</v>
      </c>
      <c r="BL12" s="242"/>
      <c r="BM12" s="242"/>
      <c r="BN12" s="242"/>
      <c r="BO12" s="242" t="e">
        <f>IF(BH12=MIN(BH9:BH14),4,IF(BH12=MAX(BH9:BH14),1,0))</f>
        <v>#VALUE!</v>
      </c>
      <c r="BP12" s="242" t="e">
        <f>IF(BO12=0,BH12,0)</f>
        <v>#VALUE!</v>
      </c>
      <c r="BQ12" s="242" t="e">
        <f>IF(BP12&lt;&gt;0,IF(BP12=MAX(BP9:BP14),2,IF(BP12=MIN(BP9:BP14),3,0)),0)</f>
        <v>#VALUE!</v>
      </c>
      <c r="BR12" s="242" t="e">
        <f>IF(AND(BO12=0,BQ12=0),3,0)</f>
        <v>#VALUE!</v>
      </c>
      <c r="BS12" s="241"/>
      <c r="BT12" s="241"/>
      <c r="BU12" s="241"/>
      <c r="BV12" s="241"/>
      <c r="BW12" s="241"/>
      <c r="BX12" s="241"/>
      <c r="BY12" s="241"/>
      <c r="BZ12" s="241"/>
      <c r="CA12" s="241"/>
      <c r="CB12" s="241"/>
      <c r="CC12" s="241"/>
      <c r="CD12" s="241"/>
      <c r="CE12" s="241"/>
      <c r="CF12" s="241"/>
      <c r="CG12" s="241"/>
      <c r="CH12" s="241"/>
      <c r="CI12" s="241"/>
      <c r="CJ12" s="241"/>
      <c r="CK12" s="241"/>
      <c r="CL12" s="241"/>
      <c r="CM12" s="241"/>
      <c r="CN12" s="241"/>
      <c r="CO12" s="241"/>
      <c r="CP12" s="241"/>
      <c r="CQ12" s="241"/>
      <c r="CR12" s="241"/>
      <c r="CS12" s="241"/>
      <c r="CT12" s="241"/>
      <c r="CU12" s="241"/>
      <c r="CV12" s="241"/>
      <c r="CW12" s="241"/>
      <c r="CX12" s="241"/>
      <c r="CY12" s="241"/>
      <c r="CZ12" s="241"/>
      <c r="DA12" s="241"/>
      <c r="DB12" s="241"/>
      <c r="DC12" s="241"/>
      <c r="DD12" s="241"/>
      <c r="DE12" s="241"/>
      <c r="DF12" s="241"/>
      <c r="DG12" s="241"/>
      <c r="DH12" s="241"/>
      <c r="DI12" s="241"/>
      <c r="DJ12" s="241"/>
      <c r="DK12" s="241"/>
      <c r="DL12" s="241"/>
      <c r="DM12" s="241"/>
      <c r="DN12" s="241"/>
      <c r="DO12" s="241"/>
      <c r="DP12" s="241"/>
      <c r="DQ12" s="241"/>
      <c r="DR12" s="241"/>
      <c r="DS12" s="241"/>
      <c r="DT12" s="241"/>
      <c r="DU12" s="241"/>
      <c r="DV12" s="241"/>
      <c r="DW12" s="241"/>
      <c r="DX12" s="241"/>
      <c r="DY12" s="241"/>
      <c r="DZ12" s="241"/>
      <c r="EA12" s="241"/>
      <c r="EB12" s="241"/>
      <c r="EC12" s="241"/>
      <c r="ED12" s="241"/>
      <c r="EE12" s="241"/>
      <c r="EF12" s="241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241"/>
      <c r="FE12" s="241"/>
      <c r="FF12" s="241"/>
      <c r="FG12" s="241"/>
      <c r="FH12" s="241"/>
      <c r="FI12" s="241"/>
      <c r="FJ12" s="236"/>
      <c r="FK12" s="236"/>
      <c r="FL12" s="236"/>
      <c r="FM12" s="236"/>
    </row>
    <row r="13" spans="1:169" ht="21.95" customHeight="1" thickBot="1" x14ac:dyDescent="0.25">
      <c r="A13" s="503"/>
      <c r="B13" s="503"/>
      <c r="C13" s="503"/>
      <c r="D13" s="503"/>
      <c r="E13" s="503"/>
      <c r="F13" s="503"/>
      <c r="G13" s="503"/>
      <c r="H13" s="506"/>
      <c r="I13" s="506"/>
      <c r="J13" s="506"/>
      <c r="K13" s="506"/>
      <c r="L13" s="506"/>
      <c r="M13" s="506"/>
      <c r="N13" s="506"/>
      <c r="O13" s="508"/>
      <c r="P13" s="508"/>
      <c r="Q13" s="508"/>
      <c r="R13" s="508"/>
      <c r="S13" s="508"/>
      <c r="T13" s="508"/>
      <c r="U13" s="508"/>
      <c r="V13" s="508"/>
      <c r="W13" s="508"/>
      <c r="X13" s="515"/>
      <c r="Y13" s="515"/>
      <c r="Z13" s="515"/>
      <c r="AA13" s="515"/>
      <c r="AC13" s="236"/>
      <c r="AD13" s="236"/>
      <c r="AE13" s="238"/>
      <c r="AF13" s="244"/>
      <c r="AG13" s="238"/>
      <c r="AH13" s="238"/>
      <c r="AI13" s="238"/>
      <c r="AJ13" s="238"/>
      <c r="AK13" s="238"/>
      <c r="AL13" s="238"/>
      <c r="AM13" s="238"/>
      <c r="AN13" s="238"/>
      <c r="AO13" s="244"/>
      <c r="AP13" s="238"/>
      <c r="AQ13" s="238"/>
      <c r="AR13" s="238"/>
      <c r="AS13" s="241"/>
      <c r="AT13" s="241"/>
      <c r="AU13" s="241"/>
      <c r="AV13" s="241"/>
      <c r="AW13" s="241"/>
      <c r="AX13" s="241"/>
      <c r="AY13" s="241"/>
      <c r="AZ13" s="241"/>
      <c r="BA13" s="242"/>
      <c r="BB13" s="242"/>
      <c r="BC13" s="241"/>
      <c r="BD13" s="241"/>
      <c r="BE13" s="242"/>
      <c r="BF13" s="241"/>
      <c r="BG13" s="242"/>
      <c r="BH13" s="246"/>
      <c r="BI13" s="241"/>
      <c r="BJ13" s="241"/>
      <c r="BK13" s="242"/>
      <c r="BL13" s="242"/>
      <c r="BM13" s="242"/>
      <c r="BN13" s="242"/>
      <c r="BO13" s="242"/>
      <c r="BP13" s="242"/>
      <c r="BQ13" s="242"/>
      <c r="BR13" s="242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241"/>
      <c r="CG13" s="241"/>
      <c r="CH13" s="241"/>
      <c r="CI13" s="241"/>
      <c r="CJ13" s="241"/>
      <c r="CK13" s="241"/>
      <c r="CL13" s="241"/>
      <c r="CM13" s="241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  <c r="DN13" s="241"/>
      <c r="DO13" s="241"/>
      <c r="DP13" s="241"/>
      <c r="DQ13" s="241"/>
      <c r="DR13" s="241"/>
      <c r="DS13" s="241"/>
      <c r="DT13" s="241"/>
      <c r="DU13" s="241"/>
      <c r="DV13" s="241"/>
      <c r="DW13" s="241"/>
      <c r="DX13" s="241"/>
      <c r="DY13" s="241"/>
      <c r="DZ13" s="241"/>
      <c r="EA13" s="241"/>
      <c r="EB13" s="241"/>
      <c r="EC13" s="241"/>
      <c r="ED13" s="241"/>
      <c r="EE13" s="241"/>
      <c r="EF13" s="241"/>
      <c r="EG13" s="241"/>
      <c r="EH13" s="241"/>
      <c r="EI13" s="241"/>
      <c r="EJ13" s="241"/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241"/>
      <c r="EW13" s="241"/>
      <c r="EX13" s="241"/>
      <c r="EY13" s="241"/>
      <c r="EZ13" s="241"/>
      <c r="FA13" s="241"/>
      <c r="FB13" s="241"/>
      <c r="FC13" s="241"/>
      <c r="FD13" s="241"/>
      <c r="FE13" s="241"/>
      <c r="FF13" s="241"/>
      <c r="FG13" s="241"/>
      <c r="FH13" s="241"/>
      <c r="FI13" s="241"/>
      <c r="FJ13" s="236"/>
      <c r="FK13" s="236"/>
      <c r="FL13" s="236"/>
      <c r="FM13" s="236"/>
    </row>
    <row r="14" spans="1:169" ht="21.95" customHeight="1" thickBot="1" x14ac:dyDescent="0.25">
      <c r="A14" s="503"/>
      <c r="B14" s="503"/>
      <c r="C14" s="503"/>
      <c r="D14" s="503"/>
      <c r="E14" s="503"/>
      <c r="F14" s="503"/>
      <c r="G14" s="503"/>
      <c r="H14" s="506"/>
      <c r="I14" s="506"/>
      <c r="J14" s="506"/>
      <c r="K14" s="506"/>
      <c r="L14" s="506"/>
      <c r="M14" s="506"/>
      <c r="N14" s="506"/>
      <c r="O14" s="508"/>
      <c r="P14" s="508"/>
      <c r="Q14" s="508"/>
      <c r="R14" s="839" t="s">
        <v>19</v>
      </c>
      <c r="S14" s="840"/>
      <c r="T14" s="840"/>
      <c r="U14" s="840"/>
      <c r="V14" s="840"/>
      <c r="W14" s="516"/>
      <c r="X14" s="836" t="s">
        <v>10</v>
      </c>
      <c r="Y14" s="838"/>
      <c r="Z14" s="838"/>
      <c r="AA14" s="837"/>
      <c r="AC14" s="236"/>
      <c r="AD14" s="236"/>
      <c r="AE14" s="248"/>
      <c r="AF14" s="249"/>
      <c r="AG14" s="248"/>
      <c r="AH14" s="248"/>
      <c r="AI14" s="248"/>
      <c r="AJ14" s="248"/>
      <c r="AK14" s="248"/>
      <c r="AL14" s="248"/>
      <c r="AM14" s="248"/>
      <c r="AN14" s="248"/>
      <c r="AO14" s="249"/>
      <c r="AP14" s="248"/>
      <c r="AQ14" s="248"/>
      <c r="AR14" s="248"/>
      <c r="AS14" s="241"/>
      <c r="AT14" s="241"/>
      <c r="AU14" s="241"/>
      <c r="AV14" s="241"/>
      <c r="AW14" s="241"/>
      <c r="AX14" s="241"/>
      <c r="AY14" s="241"/>
      <c r="AZ14" s="241"/>
      <c r="BA14" s="242"/>
      <c r="BB14" s="242"/>
      <c r="BC14" s="241"/>
      <c r="BD14" s="241"/>
      <c r="BE14" s="241"/>
      <c r="BF14" s="241"/>
      <c r="BG14" s="242"/>
      <c r="BH14" s="246"/>
      <c r="BI14" s="241"/>
      <c r="BJ14" s="241"/>
      <c r="BK14" s="242"/>
      <c r="BL14" s="242"/>
      <c r="BM14" s="242"/>
      <c r="BN14" s="242"/>
      <c r="BO14" s="242"/>
      <c r="BP14" s="242"/>
      <c r="BQ14" s="242"/>
      <c r="BR14" s="242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36"/>
      <c r="FK14" s="236"/>
      <c r="FL14" s="236"/>
      <c r="FM14" s="236"/>
    </row>
    <row r="15" spans="1:169" ht="21.95" customHeight="1" thickBot="1" x14ac:dyDescent="0.25">
      <c r="A15" s="517"/>
      <c r="B15" s="517"/>
      <c r="C15" s="517"/>
      <c r="D15" s="517"/>
      <c r="E15" s="518" t="s">
        <v>181</v>
      </c>
      <c r="F15" s="519" t="s">
        <v>178</v>
      </c>
      <c r="G15" s="517"/>
      <c r="H15" s="515"/>
      <c r="I15" s="515"/>
      <c r="J15" s="515"/>
      <c r="K15" s="515"/>
      <c r="L15" s="515"/>
      <c r="M15" s="515"/>
      <c r="N15" s="515"/>
      <c r="O15" s="520"/>
      <c r="P15" s="520"/>
      <c r="Q15" s="520"/>
      <c r="R15" s="521">
        <v>1</v>
      </c>
      <c r="S15" s="522">
        <v>2</v>
      </c>
      <c r="T15" s="522">
        <v>3</v>
      </c>
      <c r="U15" s="523">
        <v>4</v>
      </c>
      <c r="V15" s="524">
        <v>5</v>
      </c>
      <c r="W15" s="516"/>
      <c r="X15" s="525">
        <v>1</v>
      </c>
      <c r="Y15" s="526">
        <v>2</v>
      </c>
      <c r="Z15" s="526">
        <v>3</v>
      </c>
      <c r="AA15" s="527">
        <v>4</v>
      </c>
      <c r="AC15" s="236"/>
      <c r="AD15" s="236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2"/>
      <c r="BL15" s="242"/>
      <c r="BM15" s="242"/>
      <c r="BN15" s="242"/>
      <c r="BO15" s="242"/>
      <c r="BP15" s="242"/>
      <c r="BQ15" s="242"/>
      <c r="BR15" s="242"/>
      <c r="BS15" s="241"/>
      <c r="BT15" s="241"/>
      <c r="BU15" s="241"/>
      <c r="BV15" s="241"/>
      <c r="BW15" s="241"/>
      <c r="BX15" s="241"/>
      <c r="BY15" s="241"/>
      <c r="BZ15" s="241"/>
      <c r="CA15" s="241"/>
      <c r="CB15" s="241"/>
      <c r="CC15" s="241"/>
      <c r="CD15" s="241"/>
      <c r="CE15" s="241"/>
      <c r="CF15" s="241"/>
      <c r="CG15" s="241"/>
      <c r="CH15" s="241"/>
      <c r="CI15" s="241"/>
      <c r="CJ15" s="241"/>
      <c r="CK15" s="241"/>
      <c r="CL15" s="241"/>
      <c r="CM15" s="241"/>
      <c r="CN15" s="241"/>
      <c r="CO15" s="241"/>
      <c r="CP15" s="241"/>
      <c r="CQ15" s="241"/>
      <c r="CR15" s="241"/>
      <c r="CS15" s="241"/>
      <c r="CT15" s="241"/>
      <c r="CU15" s="241"/>
      <c r="CV15" s="241"/>
      <c r="CW15" s="241"/>
      <c r="CX15" s="241"/>
      <c r="CY15" s="241"/>
      <c r="CZ15" s="241"/>
      <c r="DA15" s="241"/>
      <c r="DB15" s="241"/>
      <c r="DC15" s="241"/>
      <c r="DD15" s="241"/>
      <c r="DE15" s="241"/>
      <c r="DF15" s="241"/>
      <c r="DG15" s="241"/>
      <c r="DH15" s="241"/>
      <c r="DI15" s="241"/>
      <c r="DJ15" s="241"/>
      <c r="DK15" s="241"/>
      <c r="DL15" s="241"/>
      <c r="DM15" s="241"/>
      <c r="DN15" s="241"/>
      <c r="DO15" s="241"/>
      <c r="DP15" s="241"/>
      <c r="DQ15" s="241"/>
      <c r="DR15" s="241"/>
      <c r="DS15" s="241"/>
      <c r="DT15" s="241"/>
      <c r="DU15" s="241"/>
      <c r="DV15" s="241"/>
      <c r="DW15" s="241"/>
      <c r="DX15" s="241"/>
      <c r="DY15" s="241"/>
      <c r="DZ15" s="241"/>
      <c r="EA15" s="241"/>
      <c r="EB15" s="241"/>
      <c r="EC15" s="241"/>
      <c r="ED15" s="241"/>
      <c r="EE15" s="241"/>
      <c r="EF15" s="241"/>
      <c r="EG15" s="241"/>
      <c r="EH15" s="241"/>
      <c r="EI15" s="241"/>
      <c r="EJ15" s="241"/>
      <c r="EK15" s="241"/>
      <c r="EL15" s="241"/>
      <c r="EM15" s="241"/>
      <c r="EN15" s="241"/>
      <c r="EO15" s="241"/>
      <c r="EP15" s="241"/>
      <c r="EQ15" s="241"/>
      <c r="ER15" s="241"/>
      <c r="ES15" s="241"/>
      <c r="ET15" s="241"/>
      <c r="EU15" s="241"/>
      <c r="EV15" s="241"/>
      <c r="EW15" s="241"/>
      <c r="EX15" s="241"/>
      <c r="EY15" s="241"/>
      <c r="EZ15" s="241"/>
      <c r="FA15" s="241"/>
      <c r="FB15" s="241"/>
      <c r="FC15" s="241"/>
      <c r="FD15" s="241"/>
      <c r="FE15" s="241"/>
      <c r="FF15" s="241"/>
      <c r="FG15" s="241"/>
      <c r="FH15" s="241"/>
      <c r="FI15" s="241"/>
      <c r="FJ15" s="236"/>
      <c r="FK15" s="236"/>
      <c r="FL15" s="236"/>
      <c r="FM15" s="236"/>
    </row>
    <row r="16" spans="1:169" ht="27.95" customHeight="1" x14ac:dyDescent="0.2">
      <c r="A16" s="528">
        <v>1</v>
      </c>
      <c r="B16" s="529" t="s">
        <v>13</v>
      </c>
      <c r="C16" s="530">
        <v>4</v>
      </c>
      <c r="D16" s="531" t="str">
        <f>Rens!$F$4</f>
        <v>Sa</v>
      </c>
      <c r="E16" s="532">
        <f>Rens!$B$13</f>
        <v>0</v>
      </c>
      <c r="F16" s="533">
        <f>Rens!$C$13</f>
        <v>0</v>
      </c>
      <c r="G16" s="832" t="str">
        <f t="shared" ref="G16:G21" si="0" xml:space="preserve"> VLOOKUP(A16,$A$9:$O$12,9)</f>
        <v>DINOCHAU Noé</v>
      </c>
      <c r="H16" s="821"/>
      <c r="I16" s="821"/>
      <c r="J16" s="821"/>
      <c r="K16" s="821"/>
      <c r="L16" s="534" t="s">
        <v>9</v>
      </c>
      <c r="M16" s="821" t="str">
        <f t="shared" ref="M16:M21" si="1" xml:space="preserve"> VLOOKUP(C16,$A$9:$O$12,9)</f>
        <v>CORVAISIER Bastien</v>
      </c>
      <c r="N16" s="821"/>
      <c r="O16" s="821"/>
      <c r="P16" s="821"/>
      <c r="Q16" s="822"/>
      <c r="R16" s="535"/>
      <c r="S16" s="536"/>
      <c r="T16" s="536"/>
      <c r="U16" s="536"/>
      <c r="V16" s="537"/>
      <c r="W16" s="538"/>
      <c r="X16" s="539" t="str">
        <f>IF(AND(COUNTIF(($R16:$V16),"&gt;0")&gt;=2),1,IF(AND(COUNTIF(($R16:$V16),"&lt;0")&gt;=2),0,blanc))</f>
        <v xml:space="preserve"> </v>
      </c>
      <c r="Y16" s="540"/>
      <c r="Z16" s="540"/>
      <c r="AA16" s="541" t="str">
        <f>IF(AND(X16=0),1,IF(AND(X16=1),0,blanc))</f>
        <v xml:space="preserve"> </v>
      </c>
      <c r="AC16" s="236"/>
      <c r="AD16" s="236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>
        <f>BH16</f>
        <v>0</v>
      </c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 t="s">
        <v>41</v>
      </c>
      <c r="CT16" s="241"/>
      <c r="CU16" s="241"/>
      <c r="CV16" s="241"/>
      <c r="CW16" s="241"/>
      <c r="CX16" s="241"/>
      <c r="CY16" s="241"/>
      <c r="CZ16" s="241" t="s">
        <v>42</v>
      </c>
      <c r="DA16" s="241"/>
      <c r="DB16" s="241"/>
      <c r="DC16" s="241"/>
      <c r="DD16" s="241"/>
      <c r="DE16" s="236"/>
      <c r="DF16" s="241"/>
      <c r="DG16" s="241" t="s">
        <v>54</v>
      </c>
      <c r="DH16" s="241"/>
      <c r="DI16" s="241"/>
      <c r="DJ16" s="241"/>
      <c r="DK16" s="241"/>
      <c r="DL16" s="241"/>
      <c r="DM16" s="241"/>
      <c r="DN16" s="241" t="s">
        <v>55</v>
      </c>
      <c r="DO16" s="241"/>
      <c r="DP16" s="241"/>
      <c r="DQ16" s="241"/>
      <c r="DR16" s="241"/>
      <c r="DS16" s="241"/>
      <c r="DT16" s="241"/>
      <c r="DU16" s="241" t="s">
        <v>43</v>
      </c>
      <c r="DV16" s="241"/>
      <c r="DW16" s="241"/>
      <c r="DX16" s="241"/>
      <c r="DY16" s="241"/>
      <c r="DZ16" s="241"/>
      <c r="EA16" s="241"/>
      <c r="EB16" s="241" t="s">
        <v>44</v>
      </c>
      <c r="EC16" s="241"/>
      <c r="ED16" s="241"/>
      <c r="EE16" s="241"/>
      <c r="EF16" s="241"/>
      <c r="EG16" s="241"/>
      <c r="EH16" s="241"/>
      <c r="EI16" s="241" t="s">
        <v>56</v>
      </c>
      <c r="EJ16" s="241"/>
      <c r="EK16" s="241"/>
      <c r="EL16" s="241"/>
      <c r="EM16" s="241"/>
      <c r="EN16" s="241"/>
      <c r="EO16" s="241"/>
      <c r="EP16" s="241" t="s">
        <v>57</v>
      </c>
      <c r="EQ16" s="241"/>
      <c r="ER16" s="241"/>
      <c r="ES16" s="241"/>
      <c r="ET16" s="241"/>
      <c r="EU16" s="241"/>
      <c r="EV16" s="241"/>
      <c r="EW16" s="241" t="s">
        <v>45</v>
      </c>
      <c r="EX16" s="241"/>
      <c r="EY16" s="241"/>
      <c r="EZ16" s="241"/>
      <c r="FA16" s="241"/>
      <c r="FB16" s="241"/>
      <c r="FC16" s="241"/>
      <c r="FD16" s="241" t="s">
        <v>46</v>
      </c>
      <c r="FE16" s="241"/>
      <c r="FF16" s="241"/>
      <c r="FG16" s="241"/>
      <c r="FH16" s="241"/>
      <c r="FI16" s="241"/>
      <c r="FJ16" s="236"/>
      <c r="FK16" s="236"/>
      <c r="FL16" s="236"/>
      <c r="FM16" s="236"/>
    </row>
    <row r="17" spans="1:169" ht="27.95" customHeight="1" thickBot="1" x14ac:dyDescent="0.25">
      <c r="A17" s="542">
        <v>2</v>
      </c>
      <c r="B17" s="543" t="s">
        <v>13</v>
      </c>
      <c r="C17" s="544">
        <v>3</v>
      </c>
      <c r="D17" s="545"/>
      <c r="E17" s="546">
        <f>E16+0.021</f>
        <v>2.1000000000000001E-2</v>
      </c>
      <c r="F17" s="547">
        <f>F16</f>
        <v>0</v>
      </c>
      <c r="G17" s="817" t="str">
        <f t="shared" si="0"/>
        <v>DORDAIN Sacha</v>
      </c>
      <c r="H17" s="818"/>
      <c r="I17" s="818"/>
      <c r="J17" s="818"/>
      <c r="K17" s="818"/>
      <c r="L17" s="548" t="s">
        <v>9</v>
      </c>
      <c r="M17" s="818" t="str">
        <f t="shared" si="1"/>
        <v>BOULARD  Neyl</v>
      </c>
      <c r="N17" s="818"/>
      <c r="O17" s="818"/>
      <c r="P17" s="818"/>
      <c r="Q17" s="823"/>
      <c r="R17" s="549"/>
      <c r="S17" s="550"/>
      <c r="T17" s="550"/>
      <c r="U17" s="551"/>
      <c r="V17" s="552"/>
      <c r="W17" s="538"/>
      <c r="X17" s="553"/>
      <c r="Y17" s="554" t="str">
        <f>IF(AND(COUNTIF(($R17:$V17),"&gt;0")&gt;=2),1,IF(AND(COUNTIF(($R17:$V17),"&lt;0")&gt;=2),0,blanc))</f>
        <v xml:space="preserve"> </v>
      </c>
      <c r="Z17" s="554" t="str">
        <f>IF(AND(Y17=0),1,IF(AND(Y17=1),0,blanc))</f>
        <v xml:space="preserve"> </v>
      </c>
      <c r="AA17" s="555"/>
      <c r="AC17" s="236"/>
      <c r="AD17" s="236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1"/>
      <c r="BS17" s="241"/>
      <c r="BT17" s="241"/>
      <c r="BU17" s="241" t="s">
        <v>33</v>
      </c>
      <c r="BV17" s="241" t="s">
        <v>5</v>
      </c>
      <c r="BW17" s="241" t="s">
        <v>35</v>
      </c>
      <c r="BX17" s="241"/>
      <c r="BY17" s="241" t="s">
        <v>36</v>
      </c>
      <c r="BZ17" s="241"/>
      <c r="CA17" s="241" t="s">
        <v>61</v>
      </c>
      <c r="CB17" s="241"/>
      <c r="CC17" s="241"/>
      <c r="CD17" s="241"/>
      <c r="CE17" s="241"/>
      <c r="CF17" s="250" t="s">
        <v>52</v>
      </c>
      <c r="CG17" s="250"/>
      <c r="CH17" s="241"/>
      <c r="CI17" s="241"/>
      <c r="CJ17" s="241"/>
      <c r="CK17" s="241"/>
      <c r="CL17" s="241"/>
      <c r="CM17" s="241"/>
      <c r="CN17" s="241"/>
      <c r="CO17" s="241"/>
      <c r="CP17" s="241"/>
      <c r="CQ17" s="241"/>
      <c r="CR17" s="241"/>
      <c r="CS17" s="251" t="s">
        <v>33</v>
      </c>
      <c r="CT17" s="242" t="s">
        <v>35</v>
      </c>
      <c r="CU17" s="242" t="s">
        <v>36</v>
      </c>
      <c r="CV17" s="242" t="s">
        <v>61</v>
      </c>
      <c r="CW17" s="242"/>
      <c r="CX17" s="252"/>
      <c r="CY17" s="241"/>
      <c r="CZ17" s="251" t="s">
        <v>33</v>
      </c>
      <c r="DA17" s="242" t="s">
        <v>35</v>
      </c>
      <c r="DB17" s="242" t="s">
        <v>36</v>
      </c>
      <c r="DC17" s="242" t="s">
        <v>61</v>
      </c>
      <c r="DD17" s="242"/>
      <c r="DE17" s="236"/>
      <c r="DF17" s="241"/>
      <c r="DG17" s="251" t="s">
        <v>33</v>
      </c>
      <c r="DH17" s="242" t="s">
        <v>35</v>
      </c>
      <c r="DI17" s="242" t="s">
        <v>36</v>
      </c>
      <c r="DJ17" s="242" t="s">
        <v>61</v>
      </c>
      <c r="DK17" s="242"/>
      <c r="DL17" s="252"/>
      <c r="DM17" s="241"/>
      <c r="DN17" s="251" t="s">
        <v>33</v>
      </c>
      <c r="DO17" s="242" t="s">
        <v>35</v>
      </c>
      <c r="DP17" s="242" t="s">
        <v>36</v>
      </c>
      <c r="DQ17" s="242" t="s">
        <v>61</v>
      </c>
      <c r="DR17" s="242"/>
      <c r="DS17" s="249"/>
      <c r="DT17" s="236"/>
      <c r="DU17" s="251" t="s">
        <v>33</v>
      </c>
      <c r="DV17" s="242" t="s">
        <v>35</v>
      </c>
      <c r="DW17" s="242" t="s">
        <v>36</v>
      </c>
      <c r="DX17" s="242" t="s">
        <v>61</v>
      </c>
      <c r="DY17" s="242"/>
      <c r="DZ17" s="249"/>
      <c r="EA17" s="236"/>
      <c r="EB17" s="251" t="s">
        <v>33</v>
      </c>
      <c r="EC17" s="242" t="s">
        <v>35</v>
      </c>
      <c r="ED17" s="242" t="s">
        <v>36</v>
      </c>
      <c r="EE17" s="242" t="s">
        <v>61</v>
      </c>
      <c r="EF17" s="242"/>
      <c r="EG17" s="252"/>
      <c r="EH17" s="236"/>
      <c r="EI17" s="251" t="s">
        <v>33</v>
      </c>
      <c r="EJ17" s="242" t="s">
        <v>35</v>
      </c>
      <c r="EK17" s="242" t="s">
        <v>36</v>
      </c>
      <c r="EL17" s="242" t="s">
        <v>61</v>
      </c>
      <c r="EM17" s="242"/>
      <c r="EN17" s="252"/>
      <c r="EO17" s="236"/>
      <c r="EP17" s="251" t="s">
        <v>33</v>
      </c>
      <c r="EQ17" s="242" t="s">
        <v>35</v>
      </c>
      <c r="ER17" s="242" t="s">
        <v>36</v>
      </c>
      <c r="ES17" s="242" t="s">
        <v>61</v>
      </c>
      <c r="ET17" s="242"/>
      <c r="EU17" s="242"/>
      <c r="EV17" s="236"/>
      <c r="EW17" s="251" t="s">
        <v>33</v>
      </c>
      <c r="EX17" s="242" t="s">
        <v>35</v>
      </c>
      <c r="EY17" s="242" t="s">
        <v>36</v>
      </c>
      <c r="EZ17" s="242" t="s">
        <v>61</v>
      </c>
      <c r="FA17" s="242"/>
      <c r="FB17" s="242"/>
      <c r="FC17" s="236"/>
      <c r="FD17" s="251" t="s">
        <v>33</v>
      </c>
      <c r="FE17" s="242" t="s">
        <v>35</v>
      </c>
      <c r="FF17" s="242" t="s">
        <v>36</v>
      </c>
      <c r="FG17" s="242" t="s">
        <v>61</v>
      </c>
      <c r="FH17" s="242"/>
      <c r="FI17" s="252"/>
      <c r="FJ17" s="236"/>
      <c r="FK17" s="236"/>
      <c r="FL17" s="236"/>
      <c r="FM17" s="236"/>
    </row>
    <row r="18" spans="1:169" ht="27.95" customHeight="1" thickTop="1" x14ac:dyDescent="0.2">
      <c r="A18" s="542">
        <v>1</v>
      </c>
      <c r="B18" s="543" t="s">
        <v>13</v>
      </c>
      <c r="C18" s="544">
        <v>3</v>
      </c>
      <c r="D18" s="545" t="str">
        <f>D16</f>
        <v>Sa</v>
      </c>
      <c r="E18" s="546">
        <f>E17+0.021</f>
        <v>4.2000000000000003E-2</v>
      </c>
      <c r="F18" s="547">
        <f>F16</f>
        <v>0</v>
      </c>
      <c r="G18" s="817" t="str">
        <f t="shared" si="0"/>
        <v>DINOCHAU Noé</v>
      </c>
      <c r="H18" s="818"/>
      <c r="I18" s="818"/>
      <c r="J18" s="818"/>
      <c r="K18" s="818"/>
      <c r="L18" s="548" t="s">
        <v>9</v>
      </c>
      <c r="M18" s="818" t="str">
        <f t="shared" si="1"/>
        <v>BOULARD  Neyl</v>
      </c>
      <c r="N18" s="818"/>
      <c r="O18" s="818"/>
      <c r="P18" s="818"/>
      <c r="Q18" s="823"/>
      <c r="R18" s="556"/>
      <c r="S18" s="551"/>
      <c r="T18" s="551"/>
      <c r="U18" s="551"/>
      <c r="V18" s="552"/>
      <c r="W18" s="538"/>
      <c r="X18" s="557" t="str">
        <f>IF(AND(COUNTIF(($R18:$V18),"&gt;0")&gt;=2),1,IF(AND(COUNTIF(($R18:$V18),"&lt;0")&gt;=2),0,blanc))</f>
        <v xml:space="preserve"> </v>
      </c>
      <c r="Y18" s="558"/>
      <c r="Z18" s="554" t="str">
        <f>IF(AND(X18=0),1,IF(AND(X18=1),0,blanc))</f>
        <v xml:space="preserve"> </v>
      </c>
      <c r="AA18" s="555"/>
      <c r="AC18" s="253" t="s">
        <v>37</v>
      </c>
      <c r="AD18" s="254" t="str">
        <f>AI7</f>
        <v>IG1</v>
      </c>
      <c r="AE18" s="255"/>
      <c r="AF18" s="256" t="s">
        <v>64</v>
      </c>
      <c r="AG18" s="257"/>
      <c r="AH18" s="256" t="s">
        <v>65</v>
      </c>
      <c r="AI18" s="257"/>
      <c r="AJ18" s="256" t="s">
        <v>66</v>
      </c>
      <c r="AK18" s="257"/>
      <c r="AL18" s="256" t="s">
        <v>67</v>
      </c>
      <c r="AM18" s="258"/>
      <c r="AN18" s="256" t="s">
        <v>68</v>
      </c>
      <c r="AO18" s="259"/>
      <c r="AP18" s="260" t="s">
        <v>38</v>
      </c>
      <c r="AQ18" s="261"/>
      <c r="AR18" s="261"/>
      <c r="AS18" s="261"/>
      <c r="AT18" s="262"/>
      <c r="AU18" s="263"/>
      <c r="AV18" s="264"/>
      <c r="AW18" s="264"/>
      <c r="AX18" s="264"/>
      <c r="AY18" s="265" t="s">
        <v>38</v>
      </c>
      <c r="AZ18" s="255"/>
      <c r="BA18" s="255"/>
      <c r="BB18" s="255"/>
      <c r="BC18" s="266" t="s">
        <v>69</v>
      </c>
      <c r="BD18" s="255"/>
      <c r="BE18" s="255"/>
      <c r="BF18" s="255"/>
      <c r="BG18" s="255"/>
      <c r="BH18" s="255"/>
      <c r="BI18" s="255"/>
      <c r="BJ18" s="255"/>
      <c r="BK18" s="255"/>
      <c r="BL18" s="266" t="s">
        <v>39</v>
      </c>
      <c r="BM18" s="266" t="s">
        <v>40</v>
      </c>
      <c r="BN18" s="266"/>
      <c r="BO18" s="267"/>
      <c r="BQ18" s="268"/>
      <c r="BR18" s="248"/>
      <c r="BS18" s="237" t="str">
        <f>AE9</f>
        <v>A</v>
      </c>
      <c r="BT18" s="269"/>
      <c r="BU18" s="269"/>
      <c r="BV18" s="237" t="str">
        <f>BH24</f>
        <v>M</v>
      </c>
      <c r="BW18" s="237" t="e">
        <f>BL24</f>
        <v>#VALUE!</v>
      </c>
      <c r="BX18" s="237" t="str">
        <f>BH22</f>
        <v>M</v>
      </c>
      <c r="BY18" s="237" t="e">
        <f>BL22</f>
        <v>#VALUE!</v>
      </c>
      <c r="BZ18" s="237" t="str">
        <f>BH20</f>
        <v>M</v>
      </c>
      <c r="CA18" s="270" t="e">
        <f>BL20</f>
        <v>#VALUE!</v>
      </c>
      <c r="CB18" s="248"/>
      <c r="CC18" s="248"/>
      <c r="CD18" s="271"/>
      <c r="CE18" s="271"/>
      <c r="CF18" s="249" t="e">
        <f t="shared" ref="CF18:CF24" si="2">SUM(CH18:CL18)</f>
        <v>#VALUE!</v>
      </c>
      <c r="CG18" s="242" t="e">
        <f t="shared" ref="CG18:CG24" si="3">SUM(CM18:CQ18)</f>
        <v>#VALUE!</v>
      </c>
      <c r="CH18" s="237" t="e">
        <f>IF(BV18&gt;BW18,1,0)</f>
        <v>#VALUE!</v>
      </c>
      <c r="CI18" s="237" t="e">
        <f>IF(BX18&gt;BY18,1,0)</f>
        <v>#VALUE!</v>
      </c>
      <c r="CJ18" s="237" t="e">
        <f>IF(BZ18&gt;CA18,1,0)</f>
        <v>#VALUE!</v>
      </c>
      <c r="CK18" s="237">
        <f>IF(CB18&gt;CC18,1,0)</f>
        <v>0</v>
      </c>
      <c r="CL18" s="237">
        <f>IF(CD18&gt;CE18,1,0)</f>
        <v>0</v>
      </c>
      <c r="CM18" s="272" t="e">
        <f>IF(BV18&lt;BW18,1,0)</f>
        <v>#VALUE!</v>
      </c>
      <c r="CN18" s="237" t="e">
        <f>IF(BX18&lt;BY18,1,0)</f>
        <v>#VALUE!</v>
      </c>
      <c r="CO18" s="237" t="e">
        <f>IF(BZ18&lt;CA18,1,0)</f>
        <v>#VALUE!</v>
      </c>
      <c r="CP18" s="237">
        <f>IF(CB18&lt;CC18,1,0)</f>
        <v>0</v>
      </c>
      <c r="CQ18" s="237">
        <f>IF(CD18&lt;CE18,1,0)</f>
        <v>0</v>
      </c>
      <c r="CR18" s="237" t="s">
        <v>33</v>
      </c>
      <c r="CS18" s="273" t="s">
        <v>53</v>
      </c>
      <c r="CT18" s="239" t="e">
        <f>IF(CF18=CF19,AY24,"xxx")</f>
        <v>#VALUE!</v>
      </c>
      <c r="CU18" s="239" t="e">
        <f>IF(CF18=CF20,AY22,"xxx")</f>
        <v>#VALUE!</v>
      </c>
      <c r="CV18" s="239" t="e">
        <f>IF(CF18=CF21,AY20,"xxx")</f>
        <v>#VALUE!</v>
      </c>
      <c r="CW18" s="274"/>
      <c r="CX18" s="249" t="e">
        <f>SUM(CS18:CW18)</f>
        <v>#VALUE!</v>
      </c>
      <c r="CY18" s="237" t="s">
        <v>33</v>
      </c>
      <c r="CZ18" s="273" t="s">
        <v>53</v>
      </c>
      <c r="DA18" s="239" t="e">
        <f>IF(CF18=CF19,AZ24,"xxx")</f>
        <v>#VALUE!</v>
      </c>
      <c r="DB18" s="239" t="e">
        <f>IF(CF18=CF20,BA22,"xxx")</f>
        <v>#VALUE!</v>
      </c>
      <c r="DC18" s="239" t="e">
        <f>IF(CF18=CF21,BB20,"xxx")</f>
        <v>#VALUE!</v>
      </c>
      <c r="DD18" s="274"/>
      <c r="DE18" s="249" t="e">
        <f>SUM(CZ18:DD18)</f>
        <v>#VALUE!</v>
      </c>
      <c r="DF18" s="237" t="s">
        <v>33</v>
      </c>
      <c r="DG18" s="273" t="s">
        <v>53</v>
      </c>
      <c r="DH18" s="239" t="e">
        <f>IF(AND(BA9&lt;&gt;0,AY9=AY10),IF(BA9=BA10,AY24,"xxx"),"xxx")</f>
        <v>#VALUE!</v>
      </c>
      <c r="DI18" s="239" t="e">
        <f>IF(AND(BA9&lt;&gt;0,AY9=AY11),IF(BA9=BA11,AY22,"xxx"),"xxx")</f>
        <v>#VALUE!</v>
      </c>
      <c r="DJ18" s="239" t="e">
        <f>IF(AND(BA9&lt;&gt;0,AY9=AY12),IF(BA9=BA12,AY20,"xxx"),"xxx")</f>
        <v>#VALUE!</v>
      </c>
      <c r="DK18" s="274"/>
      <c r="DL18" s="249" t="e">
        <f>SUM(DG18:DK18)</f>
        <v>#VALUE!</v>
      </c>
      <c r="DM18" s="237" t="s">
        <v>33</v>
      </c>
      <c r="DN18" s="273" t="s">
        <v>53</v>
      </c>
      <c r="DO18" s="239" t="e">
        <f>IF(AND(BA9&lt;&gt;0,AY9=AY10),IF(BA9=BA10,AZ24,"xxx"),"xxx")</f>
        <v>#VALUE!</v>
      </c>
      <c r="DP18" s="239" t="e">
        <f>IF(AND(BA9&lt;&gt;0,AY9=AY11),IF(BA9=BA11,BA22,"xxx"),"xxx")</f>
        <v>#VALUE!</v>
      </c>
      <c r="DQ18" s="239" t="e">
        <f>IF(AND(BA9&lt;&gt;0,AY9=AY12),IF(BA9=BA12,BB20,"xxx"),"xxx")</f>
        <v>#VALUE!</v>
      </c>
      <c r="DR18" s="274"/>
      <c r="DS18" s="249" t="e">
        <f>SUM(DN18:DR18)</f>
        <v>#VALUE!</v>
      </c>
      <c r="DT18" s="237" t="s">
        <v>33</v>
      </c>
      <c r="DU18" s="273" t="s">
        <v>53</v>
      </c>
      <c r="DV18" s="239" t="e">
        <f>IF(AND(CF18=CF19,BA9=BA10),BH24,"kkk")</f>
        <v>#VALUE!</v>
      </c>
      <c r="DW18" s="239" t="e">
        <f>IF(AND(CF18=CF20,BA9=BA11),BH22,"kkk")</f>
        <v>#VALUE!</v>
      </c>
      <c r="DX18" s="239" t="e">
        <f>IF(AND(CF18=CF21,BA9=BA12),BH20,"kkk")</f>
        <v>#VALUE!</v>
      </c>
      <c r="DY18" s="274"/>
      <c r="DZ18" s="249" t="e">
        <f>SUM(DU18:DY18)</f>
        <v>#VALUE!</v>
      </c>
      <c r="EA18" s="237" t="s">
        <v>33</v>
      </c>
      <c r="EB18" s="273" t="s">
        <v>53</v>
      </c>
      <c r="EC18" s="239" t="e">
        <f>IF(AND(CF18=CF19,BA9=BA10),BL24,"kkk")</f>
        <v>#VALUE!</v>
      </c>
      <c r="ED18" s="239" t="e">
        <f>IF(AND(CF18=CF20,BA9=BA11),BL22,"kkk")</f>
        <v>#VALUE!</v>
      </c>
      <c r="EE18" s="239" t="e">
        <f>IF(AND(CF18=CF21,BA9=BA12),BL20,"kkk")</f>
        <v>#VALUE!</v>
      </c>
      <c r="EF18" s="274"/>
      <c r="EG18" s="249" t="e">
        <f>SUM(EB18:EF18)</f>
        <v>#VALUE!</v>
      </c>
      <c r="EH18" s="237" t="s">
        <v>33</v>
      </c>
      <c r="EI18" s="273" t="s">
        <v>53</v>
      </c>
      <c r="EJ18" s="239" t="e">
        <f>IF(BD9&lt;&gt;"ùùù",IF(AND(CF18=CF19,BD9=BD10),BH24,"kkk"),"kkk")</f>
        <v>#VALUE!</v>
      </c>
      <c r="EK18" s="239" t="e">
        <f>IF(BD9&lt;&gt;"ùùù",IF(AND(CF18=CF20,BD9=BD11),BH22,"kkk"),"kkk")</f>
        <v>#VALUE!</v>
      </c>
      <c r="EL18" s="239" t="e">
        <f>IF(BD9&lt;&gt;"ùùù",IF(AND(CF18=CF21,BD9=BD12),BH20,"kkk"),"kkk")</f>
        <v>#VALUE!</v>
      </c>
      <c r="EM18" s="274"/>
      <c r="EN18" s="249" t="e">
        <f>SUM(EI18:EM18)</f>
        <v>#VALUE!</v>
      </c>
      <c r="EO18" s="237" t="s">
        <v>33</v>
      </c>
      <c r="EP18" s="273" t="s">
        <v>53</v>
      </c>
      <c r="EQ18" s="239" t="e">
        <f>IF(BD9&lt;&gt;"ùùù",IF(AND(CF18=CF19,BD9=BD10),BL24,"kkk"),"kkk")</f>
        <v>#VALUE!</v>
      </c>
      <c r="ER18" s="239" t="e">
        <f>IF(BD9&lt;&gt;"ùùù",IF(AND(CF18=CF20,BD9=BD11),BL22,"kkk"),"kkk")</f>
        <v>#VALUE!</v>
      </c>
      <c r="ES18" s="239" t="e">
        <f>IF(BD9&lt;&gt;"ùùù",IF(AND(CF18=CF21,BD9=BD12),BL20,"kkk"),"kkk")</f>
        <v>#VALUE!</v>
      </c>
      <c r="ET18" s="274"/>
      <c r="EU18" s="249" t="e">
        <f>SUM(EP18:ET18)</f>
        <v>#VALUE!</v>
      </c>
      <c r="EV18" s="237" t="s">
        <v>33</v>
      </c>
      <c r="EW18" s="273" t="s">
        <v>53</v>
      </c>
      <c r="EX18" s="239" t="e">
        <f>IF(AND(CF18=CF19,BC9=BC10),+AF24+AH24+AJ24+AL24+AN24,"xxx")</f>
        <v>#VALUE!</v>
      </c>
      <c r="EY18" s="239" t="e">
        <f>IF(AND(CF18=CF20,BC9=BC11),+AF22+AH22+AJ22+AL22+AN22,"xxx")</f>
        <v>#VALUE!</v>
      </c>
      <c r="EZ18" s="239" t="e">
        <f>IF(AND(CF18=CF21,BC9=BC12),+AF20+AH20+AJ20+AL20+AN20,"xxx")</f>
        <v>#VALUE!</v>
      </c>
      <c r="FA18" s="274"/>
      <c r="FB18" s="249" t="e">
        <f>SUM(EW18:FA18)</f>
        <v>#VALUE!</v>
      </c>
      <c r="FC18" s="237" t="s">
        <v>33</v>
      </c>
      <c r="FD18" s="273" t="s">
        <v>53</v>
      </c>
      <c r="FE18" s="239" t="e">
        <f>IF(AND(CF18=CF19,BC9=BC10),+AG24+AI24+AK24+AM24+AO24,"xxx")</f>
        <v>#VALUE!</v>
      </c>
      <c r="FF18" s="239" t="e">
        <f>IF(AND(CF18=CF20,BC9=BC11),+AG22+AI22+AK22+AM22+AO22,"xxx")</f>
        <v>#VALUE!</v>
      </c>
      <c r="FG18" s="239" t="e">
        <f>IF(AND(CF18=CF21,BC9=BC12),+AG20+AI20+AK20+AM20+AO20,"xxx")</f>
        <v>#VALUE!</v>
      </c>
      <c r="FH18" s="274"/>
      <c r="FI18" s="249" t="e">
        <f>SUM(FD18:FH18)</f>
        <v>#VALUE!</v>
      </c>
      <c r="FJ18" s="264"/>
      <c r="FK18" s="264"/>
      <c r="FL18" s="264"/>
      <c r="FM18" s="264"/>
    </row>
    <row r="19" spans="1:169" ht="27.95" customHeight="1" x14ac:dyDescent="0.2">
      <c r="A19" s="542">
        <v>2</v>
      </c>
      <c r="B19" s="543" t="s">
        <v>13</v>
      </c>
      <c r="C19" s="544">
        <v>4</v>
      </c>
      <c r="D19" s="545"/>
      <c r="E19" s="546">
        <f>E18+0.021</f>
        <v>6.3E-2</v>
      </c>
      <c r="F19" s="547">
        <f>F16</f>
        <v>0</v>
      </c>
      <c r="G19" s="817" t="str">
        <f t="shared" si="0"/>
        <v>DORDAIN Sacha</v>
      </c>
      <c r="H19" s="818"/>
      <c r="I19" s="818"/>
      <c r="J19" s="818"/>
      <c r="K19" s="818"/>
      <c r="L19" s="548" t="s">
        <v>9</v>
      </c>
      <c r="M19" s="818" t="str">
        <f t="shared" si="1"/>
        <v>CORVAISIER Bastien</v>
      </c>
      <c r="N19" s="818"/>
      <c r="O19" s="818"/>
      <c r="P19" s="818"/>
      <c r="Q19" s="823"/>
      <c r="R19" s="556"/>
      <c r="S19" s="551"/>
      <c r="T19" s="551"/>
      <c r="U19" s="551"/>
      <c r="V19" s="552"/>
      <c r="W19" s="538"/>
      <c r="X19" s="553"/>
      <c r="Y19" s="554" t="str">
        <f>IF(AND(COUNTIF(($R19:$V19),"&gt;0")&gt;=2),1,IF(AND(COUNTIF(($R19:$V19),"&lt;0")&gt;=2),0,blanc))</f>
        <v xml:space="preserve"> </v>
      </c>
      <c r="Z19" s="558"/>
      <c r="AA19" s="559" t="str">
        <f>IF(AND(Y19=0),1,IF(AND(Y19=1),0,blanc))</f>
        <v xml:space="preserve"> </v>
      </c>
      <c r="AC19" s="896" t="s">
        <v>47</v>
      </c>
      <c r="AD19" s="897"/>
      <c r="AE19" s="275" t="s">
        <v>48</v>
      </c>
      <c r="AF19" s="276" t="s">
        <v>49</v>
      </c>
      <c r="AG19" s="277" t="s">
        <v>50</v>
      </c>
      <c r="AH19" s="277" t="s">
        <v>49</v>
      </c>
      <c r="AI19" s="277" t="s">
        <v>50</v>
      </c>
      <c r="AJ19" s="277" t="s">
        <v>49</v>
      </c>
      <c r="AK19" s="277" t="s">
        <v>50</v>
      </c>
      <c r="AL19" s="277" t="s">
        <v>49</v>
      </c>
      <c r="AM19" s="277" t="s">
        <v>50</v>
      </c>
      <c r="AN19" s="277" t="s">
        <v>49</v>
      </c>
      <c r="AO19" s="278" t="s">
        <v>50</v>
      </c>
      <c r="AP19" s="279" t="s">
        <v>33</v>
      </c>
      <c r="AQ19" s="239" t="s">
        <v>35</v>
      </c>
      <c r="AR19" s="239" t="s">
        <v>36</v>
      </c>
      <c r="AS19" s="239" t="s">
        <v>61</v>
      </c>
      <c r="AT19" s="280"/>
      <c r="AU19" s="252"/>
      <c r="AV19" s="247"/>
      <c r="AW19" s="247"/>
      <c r="AX19" s="247"/>
      <c r="AY19" s="281" t="s">
        <v>33</v>
      </c>
      <c r="AZ19" s="239" t="s">
        <v>35</v>
      </c>
      <c r="BA19" s="239" t="s">
        <v>36</v>
      </c>
      <c r="BB19" s="239" t="s">
        <v>61</v>
      </c>
      <c r="BC19" s="239">
        <v>1</v>
      </c>
      <c r="BD19" s="239">
        <v>2</v>
      </c>
      <c r="BE19" s="239">
        <v>3</v>
      </c>
      <c r="BF19" s="239">
        <v>4</v>
      </c>
      <c r="BG19" s="239">
        <v>5</v>
      </c>
      <c r="BH19" s="239" t="s">
        <v>40</v>
      </c>
      <c r="BI19" s="239" t="s">
        <v>51</v>
      </c>
      <c r="BJ19" s="239"/>
      <c r="BK19" s="239"/>
      <c r="BL19" s="239" t="s">
        <v>70</v>
      </c>
      <c r="BM19" s="239" t="s">
        <v>40</v>
      </c>
      <c r="BN19" s="239"/>
      <c r="BO19" s="282"/>
      <c r="BQ19" s="268"/>
      <c r="BR19" s="248"/>
      <c r="BS19" s="237" t="str">
        <f>AE10</f>
        <v>B</v>
      </c>
      <c r="BT19" s="237" t="e">
        <f>BW18</f>
        <v>#VALUE!</v>
      </c>
      <c r="BU19" s="237" t="str">
        <f>BV18</f>
        <v>M</v>
      </c>
      <c r="BV19" s="269"/>
      <c r="BW19" s="269"/>
      <c r="BX19" s="237" t="str">
        <f>BH21</f>
        <v>M</v>
      </c>
      <c r="BY19" s="237" t="e">
        <f>BL21</f>
        <v>#VALUE!</v>
      </c>
      <c r="BZ19" s="237" t="str">
        <f>BH23</f>
        <v>M</v>
      </c>
      <c r="CA19" s="270" t="e">
        <f>BL23</f>
        <v>#VALUE!</v>
      </c>
      <c r="CB19" s="248"/>
      <c r="CC19" s="248"/>
      <c r="CD19" s="271"/>
      <c r="CE19" s="271"/>
      <c r="CF19" s="249" t="e">
        <f t="shared" si="2"/>
        <v>#VALUE!</v>
      </c>
      <c r="CG19" s="242" t="e">
        <f t="shared" si="3"/>
        <v>#VALUE!</v>
      </c>
      <c r="CH19" s="237" t="e">
        <f>IF(BT19&gt;BU19,1,0)</f>
        <v>#VALUE!</v>
      </c>
      <c r="CI19" s="237" t="e">
        <f>IF(BX19&gt;BY19,1,0)</f>
        <v>#VALUE!</v>
      </c>
      <c r="CJ19" s="237" t="e">
        <f>IF(BZ19&gt;CA19,1,0)</f>
        <v>#VALUE!</v>
      </c>
      <c r="CK19" s="237">
        <f>IF(CB19&gt;CC19,1,0)</f>
        <v>0</v>
      </c>
      <c r="CL19" s="237">
        <f>IF(CD19&gt;CE19,1,0)</f>
        <v>0</v>
      </c>
      <c r="CM19" s="272" t="e">
        <f>IF(BT19&lt;BU19,1,0)</f>
        <v>#VALUE!</v>
      </c>
      <c r="CN19" s="237" t="e">
        <f>IF(BX19&lt;BY19,1,0)</f>
        <v>#VALUE!</v>
      </c>
      <c r="CO19" s="237" t="e">
        <f>IF(BZ19&lt;CA19,1,0)</f>
        <v>#VALUE!</v>
      </c>
      <c r="CP19" s="237">
        <f>IF(CB19&lt;CC19,1,0)</f>
        <v>0</v>
      </c>
      <c r="CQ19" s="237">
        <f>IF(CD19&lt;CE19,1,0)</f>
        <v>0</v>
      </c>
      <c r="CR19" s="237" t="s">
        <v>35</v>
      </c>
      <c r="CS19" s="239" t="e">
        <f>IF(CF19=CF18,AZ24,"xxx")</f>
        <v>#VALUE!</v>
      </c>
      <c r="CT19" s="273" t="s">
        <v>53</v>
      </c>
      <c r="CU19" s="239" t="e">
        <f>IF(CF19=CF20,AZ21,"xxx")</f>
        <v>#VALUE!</v>
      </c>
      <c r="CV19" s="239" t="e">
        <f>IF(CF19=CF21,AZ23,"xxx")</f>
        <v>#VALUE!</v>
      </c>
      <c r="CW19" s="274"/>
      <c r="CX19" s="249" t="e">
        <f>SUM(CS19:CW19)</f>
        <v>#VALUE!</v>
      </c>
      <c r="CY19" s="237" t="s">
        <v>35</v>
      </c>
      <c r="CZ19" s="239" t="e">
        <f>IF(CF19=CF18,AY24,"xxx")</f>
        <v>#VALUE!</v>
      </c>
      <c r="DA19" s="273" t="s">
        <v>53</v>
      </c>
      <c r="DB19" s="239" t="e">
        <f>IF(CF19=CF20,BA21,"xxx")</f>
        <v>#VALUE!</v>
      </c>
      <c r="DC19" s="239" t="e">
        <f>IF(CF19=CF21,BB23,"xxx")</f>
        <v>#VALUE!</v>
      </c>
      <c r="DD19" s="274"/>
      <c r="DE19" s="249" t="e">
        <f>SUM(CZ19:DD19)</f>
        <v>#VALUE!</v>
      </c>
      <c r="DF19" s="237" t="s">
        <v>35</v>
      </c>
      <c r="DG19" s="239" t="e">
        <f>IF(AND(BA10&lt;&gt;0,AY10=AY9),IF(BA10=BA9,AZ24,"xxx"),"xxx")</f>
        <v>#VALUE!</v>
      </c>
      <c r="DH19" s="273" t="s">
        <v>53</v>
      </c>
      <c r="DI19" s="239" t="e">
        <f>IF(AND(BA10&lt;&gt;0,AY10=AY11),IF(BA10=BA11,AZ21,"xxx"),"xxx")</f>
        <v>#VALUE!</v>
      </c>
      <c r="DJ19" s="239" t="e">
        <f>IF(AND(BA10&lt;&gt;0,AY10=AY12),IF(BA10=BA12,AZ23,"xxx"),"xxx")</f>
        <v>#VALUE!</v>
      </c>
      <c r="DK19" s="274"/>
      <c r="DL19" s="249" t="e">
        <f>SUM(DG19:DK19)</f>
        <v>#VALUE!</v>
      </c>
      <c r="DM19" s="237" t="s">
        <v>35</v>
      </c>
      <c r="DN19" s="239" t="e">
        <f>IF(AND(BA10&lt;&gt;0,AY10=AY9),IF(BA10=BA9,AY24,"xxx"),"xxx")</f>
        <v>#VALUE!</v>
      </c>
      <c r="DO19" s="273" t="s">
        <v>53</v>
      </c>
      <c r="DP19" s="239" t="e">
        <f>IF(AND(BA10&lt;&gt;0,AY10=AY11),IF(BA10=BA11,BA21,"xxx"),"xxx")</f>
        <v>#VALUE!</v>
      </c>
      <c r="DQ19" s="239" t="e">
        <f>IF(AND(BA10&lt;&gt;0,AY10=AY12),IF(BA10=BA12,BB23,"xxx"),"xxx")</f>
        <v>#VALUE!</v>
      </c>
      <c r="DR19" s="274"/>
      <c r="DS19" s="249" t="e">
        <f>SUM(DN19:DR19)</f>
        <v>#VALUE!</v>
      </c>
      <c r="DT19" s="237" t="s">
        <v>35</v>
      </c>
      <c r="DU19" s="239" t="e">
        <f>IF(AND(CF19=CF18,BA10=BA9),BL24,"kkk")</f>
        <v>#VALUE!</v>
      </c>
      <c r="DV19" s="273" t="s">
        <v>53</v>
      </c>
      <c r="DW19" s="239" t="e">
        <f>IF(AND(CF19=CF20,BA10=BA11),BH21,"kkk")</f>
        <v>#VALUE!</v>
      </c>
      <c r="DX19" s="239" t="e">
        <f>IF(AND(CF19=CF21,BA10=BA12),BH23,"kkk")</f>
        <v>#VALUE!</v>
      </c>
      <c r="DY19" s="274"/>
      <c r="DZ19" s="249" t="e">
        <f>SUM(DU19:DY19)</f>
        <v>#VALUE!</v>
      </c>
      <c r="EA19" s="237" t="s">
        <v>35</v>
      </c>
      <c r="EB19" s="239" t="e">
        <f>IF(AND(CF19=CF18,BA10=BA9),BH24,"kkk")</f>
        <v>#VALUE!</v>
      </c>
      <c r="EC19" s="273" t="s">
        <v>53</v>
      </c>
      <c r="ED19" s="239" t="e">
        <f>IF(AND(CF19=CF20,BA10=BA11),BL21,"kkk")</f>
        <v>#VALUE!</v>
      </c>
      <c r="EE19" s="239" t="e">
        <f>IF(AND(CF19=CF21,BA10=BA12),BL23,"kkk")</f>
        <v>#VALUE!</v>
      </c>
      <c r="EF19" s="274"/>
      <c r="EG19" s="249" t="e">
        <f>SUM(EB19:EF19)</f>
        <v>#VALUE!</v>
      </c>
      <c r="EH19" s="237" t="s">
        <v>35</v>
      </c>
      <c r="EI19" s="239" t="e">
        <f>IF(BD10&lt;&gt;"ùùù",IF(AND(CF19=CF18,BD10=BD9),BL24,"kkk"),"kkk")</f>
        <v>#VALUE!</v>
      </c>
      <c r="EJ19" s="273" t="s">
        <v>53</v>
      </c>
      <c r="EK19" s="239" t="e">
        <f>IF(BD10&lt;&gt;"ùùù",IF(AND(CF19=CF20,BD10=BD11),BH21,"kkk"),"kkk")</f>
        <v>#VALUE!</v>
      </c>
      <c r="EL19" s="239" t="e">
        <f>IF(BD10&lt;&gt;"ùùù",IF(AND(CF19=CF21,BD10=BD12),BH23,"kkk"),"kkk")</f>
        <v>#VALUE!</v>
      </c>
      <c r="EM19" s="274"/>
      <c r="EN19" s="249" t="e">
        <f>SUM(EI19:EM19)</f>
        <v>#VALUE!</v>
      </c>
      <c r="EO19" s="237" t="s">
        <v>35</v>
      </c>
      <c r="EP19" s="239" t="e">
        <f>IF(BD10&lt;&gt;"ùùù",IF(AND(CF19=CF18,BD10=BD9),BH24,"kkk"),"kkk")</f>
        <v>#VALUE!</v>
      </c>
      <c r="EQ19" s="273" t="s">
        <v>53</v>
      </c>
      <c r="ER19" s="239" t="e">
        <f>IF(BD10&lt;&gt;"ùùù",IF(AND(CF19=CF20,BD10=BD11),BL21,"kkk"),"kkk")</f>
        <v>#VALUE!</v>
      </c>
      <c r="ES19" s="239" t="e">
        <f>IF(BD10&lt;&gt;"ùùù",IF(AND(CF19=CF21,BD10=BD12),BL23,"kkk"),"kkk")</f>
        <v>#VALUE!</v>
      </c>
      <c r="ET19" s="274"/>
      <c r="EU19" s="249" t="e">
        <f>SUM(EP19:ET19)</f>
        <v>#VALUE!</v>
      </c>
      <c r="EV19" s="237" t="s">
        <v>35</v>
      </c>
      <c r="EW19" s="239" t="e">
        <f>IF(AND(CF19=CF18,BC10=BC9),+AG24+AI24+AK24+AM24+AO24,"xxx")</f>
        <v>#VALUE!</v>
      </c>
      <c r="EX19" s="273" t="s">
        <v>53</v>
      </c>
      <c r="EY19" s="239" t="e">
        <f>IF(AND(CF19=CF20,BC10=BC11),+AF21+AH21+AJ21+AL21+AN21,"xxx")</f>
        <v>#VALUE!</v>
      </c>
      <c r="EZ19" s="239" t="e">
        <f>IF(AND(CF19=CF21,BC10=BC12),+AF23+AH23+AJ23+AL23+AN23,"xxx")</f>
        <v>#VALUE!</v>
      </c>
      <c r="FA19" s="274"/>
      <c r="FB19" s="249" t="e">
        <f>SUM(EW19:FA19)</f>
        <v>#VALUE!</v>
      </c>
      <c r="FC19" s="237" t="s">
        <v>35</v>
      </c>
      <c r="FD19" s="239" t="e">
        <f>IF(AND(CF19=CF18,BC10=BC9),+AF24+AH24+AJ24+AL24+AN24,"xxx")</f>
        <v>#VALUE!</v>
      </c>
      <c r="FE19" s="273" t="s">
        <v>53</v>
      </c>
      <c r="FF19" s="239" t="e">
        <f>IF(AND(CF19=CF20,BC10=BC11),+AG21+AI21+AK21+AM21+AO21,"xxx")</f>
        <v>#VALUE!</v>
      </c>
      <c r="FG19" s="239" t="e">
        <f>IF(AND(CF19=CF21,BC10=BC12),+AG23+AI23+AK23+AM23+AO23,"xxx")</f>
        <v>#VALUE!</v>
      </c>
      <c r="FH19" s="274"/>
      <c r="FI19" s="249" t="e">
        <f>SUM(FD19:FH19)</f>
        <v>#VALUE!</v>
      </c>
      <c r="FJ19" s="247"/>
      <c r="FK19" s="247"/>
      <c r="FL19" s="247"/>
      <c r="FM19" s="247"/>
    </row>
    <row r="20" spans="1:169" ht="27.95" customHeight="1" x14ac:dyDescent="0.2">
      <c r="A20" s="542">
        <v>1</v>
      </c>
      <c r="B20" s="543" t="s">
        <v>13</v>
      </c>
      <c r="C20" s="544">
        <v>2</v>
      </c>
      <c r="D20" s="545" t="str">
        <f>D16</f>
        <v>Sa</v>
      </c>
      <c r="E20" s="546">
        <f>E19+0.021</f>
        <v>8.4000000000000005E-2</v>
      </c>
      <c r="F20" s="547">
        <f>F16</f>
        <v>0</v>
      </c>
      <c r="G20" s="817" t="str">
        <f t="shared" si="0"/>
        <v>DINOCHAU Noé</v>
      </c>
      <c r="H20" s="818"/>
      <c r="I20" s="818"/>
      <c r="J20" s="818"/>
      <c r="K20" s="818"/>
      <c r="L20" s="548" t="s">
        <v>9</v>
      </c>
      <c r="M20" s="818" t="str">
        <f t="shared" si="1"/>
        <v>DORDAIN Sacha</v>
      </c>
      <c r="N20" s="818"/>
      <c r="O20" s="818"/>
      <c r="P20" s="818"/>
      <c r="Q20" s="823"/>
      <c r="R20" s="556"/>
      <c r="S20" s="551"/>
      <c r="T20" s="551"/>
      <c r="U20" s="551"/>
      <c r="V20" s="552"/>
      <c r="W20" s="538"/>
      <c r="X20" s="557" t="str">
        <f>IF(AND(COUNTIF(($R20:$V20),"&gt;0")&gt;=2),1,IF(AND(COUNTIF(($R20:$V20),"&lt;0")&gt;=2),0,blanc))</f>
        <v xml:space="preserve"> </v>
      </c>
      <c r="Y20" s="554" t="str">
        <f>IF(AND(X20=0),1,IF(AND(X20=1),0,blanc))</f>
        <v xml:space="preserve"> </v>
      </c>
      <c r="Z20" s="558"/>
      <c r="AA20" s="555"/>
      <c r="AC20" s="283">
        <f>IF(AF9&lt;&gt;" ",AF9," ")</f>
        <v>1</v>
      </c>
      <c r="AD20" s="284">
        <f>IF(AF12&lt;&gt;" ",AF12," ")</f>
        <v>4</v>
      </c>
      <c r="AE20" s="285" t="str">
        <f t="shared" ref="AE20:AE25" si="4">IF(AK20&lt;&gt;0,IF(BI20&lt;0,AD20,AC20),IF(BI20=2,AC20,IF(BI20=-2,AD20," ")))</f>
        <v xml:space="preserve"> </v>
      </c>
      <c r="AF20" s="286">
        <f t="shared" ref="AF20:AF25" si="5">IF(R16=0,0,IF(R16&lt;0,-R16,IF(R16&lt;10,11,R16+2)))</f>
        <v>0</v>
      </c>
      <c r="AG20" s="287">
        <f t="shared" ref="AG20:AG25" si="6">IF(R16=0,0,IF(R16&gt;0,R16,IF(R16&gt;-10,11,-R16+2)))</f>
        <v>0</v>
      </c>
      <c r="AH20" s="284">
        <f t="shared" ref="AH20:AH25" si="7">IF(S16=0,0,IF(S16&lt;0,-S16,IF(S16&lt;10,11,S16+2)))</f>
        <v>0</v>
      </c>
      <c r="AI20" s="287">
        <f t="shared" ref="AI20:AI25" si="8">IF(S16=0,0,IF(S16&gt;0,S16,IF(S16&gt;-10,11,-S16+2)))</f>
        <v>0</v>
      </c>
      <c r="AJ20" s="288">
        <f t="shared" ref="AJ20:AJ25" si="9">IF(T16=0,0,IF(T16&lt;0,-T16,IF(T16&lt;10,11,T16+2)))</f>
        <v>0</v>
      </c>
      <c r="AK20" s="287">
        <f t="shared" ref="AK20:AK25" si="10">IF(T16=0,0,IF(T16&gt;0,T16,IF(T16&gt;-10,11,-T16+2)))</f>
        <v>0</v>
      </c>
      <c r="AL20" s="288">
        <f t="shared" ref="AL20:AL25" si="11">IF(U16=0,0,IF(U16&lt;0,-U16,IF(U16&lt;10,11,U16+2)))</f>
        <v>0</v>
      </c>
      <c r="AM20" s="287">
        <f t="shared" ref="AM20:AM25" si="12">IF(U16=0,0,IF(U16&gt;0,U16,IF(U16&gt;-10,11,-U16+2)))</f>
        <v>0</v>
      </c>
      <c r="AN20" s="288">
        <f t="shared" ref="AN20:AN25" si="13">IF(V16=0,0,IF(V16&lt;0,-V16,IF(V16&lt;10,11,V16+2)))</f>
        <v>0</v>
      </c>
      <c r="AO20" s="289">
        <f t="shared" ref="AO20:AO25" si="14">IF(V16=0,0,IF(V16&gt;0,V16,IF(V16&gt;-10,11,-V16+2)))</f>
        <v>0</v>
      </c>
      <c r="AP20" s="290">
        <f>IF(BI20&gt;0,1,0)</f>
        <v>0</v>
      </c>
      <c r="AR20" s="291"/>
      <c r="AS20" s="290">
        <f>IF(BI20&lt;0,1,0)</f>
        <v>0</v>
      </c>
      <c r="AT20" s="292"/>
      <c r="AU20" s="252"/>
      <c r="AV20" s="236"/>
      <c r="AW20" s="236"/>
      <c r="AX20" s="236"/>
      <c r="AY20" s="293">
        <f>IF(BI20&gt;0,1,0)</f>
        <v>0</v>
      </c>
      <c r="BA20" s="294"/>
      <c r="BB20" s="295">
        <f>IF(BI20&lt;0,1,0)</f>
        <v>0</v>
      </c>
      <c r="BC20" s="296">
        <f t="shared" ref="BC20:BC25" si="15">IF(AF20&lt;&gt;0,IF(AF20&gt;AG20,1,-1),0)</f>
        <v>0</v>
      </c>
      <c r="BD20" s="296">
        <f t="shared" ref="BD20:BD25" si="16">IF(AH20&lt;&gt;0,IF(AH20&gt;AI20,1,-1),0)</f>
        <v>0</v>
      </c>
      <c r="BE20" s="296">
        <f t="shared" ref="BE20:BE25" si="17">IF(AJ20&lt;&gt;0,IF(AJ20&gt;AK20,1,-1),0)</f>
        <v>0</v>
      </c>
      <c r="BF20" s="296">
        <f t="shared" ref="BF20:BF25" si="18">IF(AL20&lt;&gt;0,IF(AL20&gt;AM20,1,-1),0)</f>
        <v>0</v>
      </c>
      <c r="BG20" s="296">
        <f t="shared" ref="BG20:BG25" si="19">IF(AN20&lt;&gt;0,IF(AN20&gt;AO20,1,-1),0)</f>
        <v>0</v>
      </c>
      <c r="BH20" s="296" t="str">
        <f t="shared" ref="BH20:BH25" si="20">IF(BM20=0,"M",IF(BI20&gt;0,3,IF(BI20=0,"N",3+BI20)))</f>
        <v>M</v>
      </c>
      <c r="BI20" s="296">
        <f t="shared" ref="BI20:BI25" si="21">SUM(BC20:BG20)</f>
        <v>0</v>
      </c>
      <c r="BJ20" s="296"/>
      <c r="BK20" s="296"/>
      <c r="BL20" s="296" t="e">
        <f t="shared" ref="BL20:BL25" si="22">BM20-BH20</f>
        <v>#VALUE!</v>
      </c>
      <c r="BM20" s="296">
        <f t="shared" ref="BM20:BM25" si="23">ABS(BC20)+ABS(BD20)+ABS(BE20)+ABS(BF20)+ABS(BG20)</f>
        <v>0</v>
      </c>
      <c r="BN20" s="296"/>
      <c r="BO20" s="297"/>
      <c r="BQ20" s="268"/>
      <c r="BR20" s="248"/>
      <c r="BS20" s="237" t="str">
        <f>AE11</f>
        <v>C</v>
      </c>
      <c r="BT20" s="237" t="e">
        <f>BY18</f>
        <v>#VALUE!</v>
      </c>
      <c r="BU20" s="237" t="str">
        <f>BX18</f>
        <v>M</v>
      </c>
      <c r="BV20" s="237" t="e">
        <f>BY19</f>
        <v>#VALUE!</v>
      </c>
      <c r="BW20" s="237" t="str">
        <f>BX19</f>
        <v>M</v>
      </c>
      <c r="BX20" s="269"/>
      <c r="BY20" s="269"/>
      <c r="BZ20" s="237" t="str">
        <f>BH25</f>
        <v>M</v>
      </c>
      <c r="CA20" s="270" t="e">
        <f>BL25</f>
        <v>#VALUE!</v>
      </c>
      <c r="CB20" s="248"/>
      <c r="CC20" s="248"/>
      <c r="CD20" s="271"/>
      <c r="CE20" s="271"/>
      <c r="CF20" s="249" t="e">
        <f t="shared" si="2"/>
        <v>#VALUE!</v>
      </c>
      <c r="CG20" s="242" t="e">
        <f t="shared" si="3"/>
        <v>#VALUE!</v>
      </c>
      <c r="CH20" s="237" t="e">
        <f>IF(BT20&gt;BU20,1,0)</f>
        <v>#VALUE!</v>
      </c>
      <c r="CI20" s="237" t="e">
        <f>IF(BV20&gt;BW20,1,0)</f>
        <v>#VALUE!</v>
      </c>
      <c r="CJ20" s="237" t="e">
        <f>IF(BZ20&gt;CA20,1,0)</f>
        <v>#VALUE!</v>
      </c>
      <c r="CK20" s="237">
        <f>IF(CB20&gt;CC20,1,0)</f>
        <v>0</v>
      </c>
      <c r="CL20" s="237">
        <f>IF(CD20&gt;CE20,1,0)</f>
        <v>0</v>
      </c>
      <c r="CM20" s="272" t="e">
        <f>IF(BT20&lt;BU20,1,0)</f>
        <v>#VALUE!</v>
      </c>
      <c r="CN20" s="237" t="e">
        <f>IF(BV20&lt;BW20,1,0)</f>
        <v>#VALUE!</v>
      </c>
      <c r="CO20" s="237" t="e">
        <f>IF(BZ20&lt;CA20,1,0)</f>
        <v>#VALUE!</v>
      </c>
      <c r="CP20" s="237">
        <f>IF(CB20&lt;CC20,1,0)</f>
        <v>0</v>
      </c>
      <c r="CQ20" s="237">
        <f>IF(CD20&lt;CE20,1,0)</f>
        <v>0</v>
      </c>
      <c r="CR20" s="237" t="s">
        <v>36</v>
      </c>
      <c r="CS20" s="239" t="e">
        <f>IF(CF20=CF18,BA22,"xxx")</f>
        <v>#VALUE!</v>
      </c>
      <c r="CT20" s="239" t="e">
        <f>IF(CF20=CF19,BA21,"xxx")</f>
        <v>#VALUE!</v>
      </c>
      <c r="CU20" s="273" t="s">
        <v>53</v>
      </c>
      <c r="CV20" s="239" t="e">
        <f>IF(CF20=CF21,BA25,"xxx")</f>
        <v>#VALUE!</v>
      </c>
      <c r="CW20" s="274"/>
      <c r="CX20" s="249" t="e">
        <f>SUM(CS20:CW20)</f>
        <v>#VALUE!</v>
      </c>
      <c r="CY20" s="237" t="s">
        <v>36</v>
      </c>
      <c r="CZ20" s="239" t="e">
        <f>IF(CF20=CF18,AY22,"xxx")</f>
        <v>#VALUE!</v>
      </c>
      <c r="DA20" s="239" t="e">
        <f>IF(CF20=CF19,AZ21,"xxx")</f>
        <v>#VALUE!</v>
      </c>
      <c r="DB20" s="273" t="s">
        <v>53</v>
      </c>
      <c r="DC20" s="239" t="e">
        <f>IF(CF20=CF21,BB25,"xxx")</f>
        <v>#VALUE!</v>
      </c>
      <c r="DD20" s="274"/>
      <c r="DE20" s="249" t="e">
        <f>SUM(CZ20:DD20)</f>
        <v>#VALUE!</v>
      </c>
      <c r="DF20" s="237" t="s">
        <v>36</v>
      </c>
      <c r="DG20" s="239" t="e">
        <f>IF(AND(BA11&lt;&gt;0,AY11=AY9),IF(BA11=BA9,BA22,"xxx"),"xxx")</f>
        <v>#VALUE!</v>
      </c>
      <c r="DH20" s="239" t="e">
        <f>IF(AND(BA11&lt;&gt;0,AY11=AY10),IF(BA11=BA10,BA21,"xxx"),"xxx")</f>
        <v>#VALUE!</v>
      </c>
      <c r="DI20" s="273" t="s">
        <v>53</v>
      </c>
      <c r="DJ20" s="239" t="e">
        <f>IF(AND(BA11&lt;&gt;0,AY11=AY12),IF(BA11=BA12,BA25,"xxx"),"xxx")</f>
        <v>#VALUE!</v>
      </c>
      <c r="DK20" s="274"/>
      <c r="DL20" s="249" t="e">
        <f>SUM(DG20:DK20)</f>
        <v>#VALUE!</v>
      </c>
      <c r="DM20" s="237" t="s">
        <v>36</v>
      </c>
      <c r="DN20" s="239" t="e">
        <f>IF(AND(BA11&lt;&gt;0,AY11=AY9),IF(BA11=BA9,AY22,"xxx"),"xxx")</f>
        <v>#VALUE!</v>
      </c>
      <c r="DO20" s="239" t="e">
        <f>IF(AND(BA11&lt;&gt;0,AY11=AY10),IF(BA11=BA10,AZ21,"xxx"),"xxx")</f>
        <v>#VALUE!</v>
      </c>
      <c r="DP20" s="273" t="s">
        <v>53</v>
      </c>
      <c r="DQ20" s="239" t="e">
        <f>IF(AND(BA11&lt;&gt;0,AY11=AY12),IF(BA11=BA12,BB25,"xxx"),"xxx")</f>
        <v>#VALUE!</v>
      </c>
      <c r="DR20" s="274"/>
      <c r="DS20" s="249" t="e">
        <f>SUM(DN20:DR20)</f>
        <v>#VALUE!</v>
      </c>
      <c r="DT20" s="237" t="s">
        <v>36</v>
      </c>
      <c r="DU20" s="239" t="e">
        <f>IF(AND(CF20=CF18,BA11=BA9),BL22,"kkk")</f>
        <v>#VALUE!</v>
      </c>
      <c r="DV20" s="239" t="e">
        <f>IF(AND(CF20=CF19,BA11=BA10),BL21,"kkk")</f>
        <v>#VALUE!</v>
      </c>
      <c r="DW20" s="273" t="s">
        <v>53</v>
      </c>
      <c r="DX20" s="239" t="e">
        <f>IF(AND(CF20=CF21,BA11=BA12),BH25,"kkk")</f>
        <v>#VALUE!</v>
      </c>
      <c r="DY20" s="274"/>
      <c r="DZ20" s="249" t="e">
        <f>SUM(DU20:DY20)</f>
        <v>#VALUE!</v>
      </c>
      <c r="EA20" s="237" t="s">
        <v>36</v>
      </c>
      <c r="EB20" s="239" t="e">
        <f>IF(AND(CF20=CF18,BA11=BA9),BH22,"kkk")</f>
        <v>#VALUE!</v>
      </c>
      <c r="EC20" s="239" t="e">
        <f>IF(AND(CF20=CF19,BA11=BA10),BH21,"kkk")</f>
        <v>#VALUE!</v>
      </c>
      <c r="ED20" s="273" t="s">
        <v>53</v>
      </c>
      <c r="EE20" s="239" t="e">
        <f>IF(AND(CF20=CF21,BA11=BA12),BL25,"kkk")</f>
        <v>#VALUE!</v>
      </c>
      <c r="EF20" s="274"/>
      <c r="EG20" s="249" t="e">
        <f>SUM(EB20:EF20)</f>
        <v>#VALUE!</v>
      </c>
      <c r="EH20" s="237" t="s">
        <v>36</v>
      </c>
      <c r="EI20" s="239" t="e">
        <f>IF(BD11&lt;&gt;"ùùù",IF(AND(CF20=CF18,BD11=BD9),BL22,"kkk"),"kkk")</f>
        <v>#VALUE!</v>
      </c>
      <c r="EJ20" s="239" t="e">
        <f>IF(BD11&lt;&gt;"ùùù",IF(AND(CF20=CF19,BD11=BD10),BL21,"kkk"),"kkk")</f>
        <v>#VALUE!</v>
      </c>
      <c r="EK20" s="273" t="s">
        <v>53</v>
      </c>
      <c r="EL20" s="239" t="e">
        <f>IF(BD11&lt;&gt;"ùùù",IF(AND(CF20=CF21,BD11=BD12),BH25,"kkk"),"kkk")</f>
        <v>#VALUE!</v>
      </c>
      <c r="EM20" s="274"/>
      <c r="EN20" s="249" t="e">
        <f>SUM(EI20:EM20)</f>
        <v>#VALUE!</v>
      </c>
      <c r="EO20" s="237" t="s">
        <v>36</v>
      </c>
      <c r="EP20" s="239" t="e">
        <f>IF(BD11&lt;&gt;"ùùù",IF(AND(CF20=CF18,BD11=BD9),BH22,"kkk"),"kkk")</f>
        <v>#VALUE!</v>
      </c>
      <c r="EQ20" s="239" t="e">
        <f>IF(BD11&lt;&gt;"ùùù",IF(AND(CF20=CF19,BD11=BD10),BH21,"kkk"),"kkk")</f>
        <v>#VALUE!</v>
      </c>
      <c r="ER20" s="273" t="s">
        <v>53</v>
      </c>
      <c r="ES20" s="239" t="e">
        <f>IF(BD11&lt;&gt;"ùùù",IF(AND(CF20=CF21,BD11=BD12),BL25,"kkk"),"kkk")</f>
        <v>#VALUE!</v>
      </c>
      <c r="ET20" s="274"/>
      <c r="EU20" s="249" t="e">
        <f>SUM(EP20:ET20)</f>
        <v>#VALUE!</v>
      </c>
      <c r="EV20" s="237" t="s">
        <v>36</v>
      </c>
      <c r="EW20" s="239" t="e">
        <f>IF(AND(CF20=CF18,BC11=BC9),+AG22+AI22+AK22+AM22+AO22,"xxx")</f>
        <v>#VALUE!</v>
      </c>
      <c r="EX20" s="239" t="e">
        <f>IF(AND(CF20=CF19,BC11=BC10),+AG21+AI21+AK21+AM21+AO21,"xxx")</f>
        <v>#VALUE!</v>
      </c>
      <c r="EY20" s="273" t="s">
        <v>53</v>
      </c>
      <c r="EZ20" s="239" t="e">
        <f>IF(AND(CF20=CF21,BC11=BC12),+AF25+AH25+AJ25+AL25+AN25,"xxx")</f>
        <v>#VALUE!</v>
      </c>
      <c r="FA20" s="274"/>
      <c r="FB20" s="249" t="e">
        <f>SUM(EW20:FA20)</f>
        <v>#VALUE!</v>
      </c>
      <c r="FC20" s="237" t="s">
        <v>36</v>
      </c>
      <c r="FD20" s="239" t="e">
        <f>IF(AND(CF20=CF18,BC11=BC9),+AF22+AH22+AJ22+AL22+AN22,"xxx")</f>
        <v>#VALUE!</v>
      </c>
      <c r="FE20" s="239" t="e">
        <f>IF(AND(CF20=CF19,BC11=BC10),+AF21+AH21+AJ21+AL21+AN21,"xxx")</f>
        <v>#VALUE!</v>
      </c>
      <c r="FF20" s="273" t="s">
        <v>53</v>
      </c>
      <c r="FG20" s="239" t="e">
        <f>IF(AND(CF20=CF21,BC11=BC12),+AG25+AI25+AK25+AM25+AO25,"xxx")</f>
        <v>#VALUE!</v>
      </c>
      <c r="FH20" s="274"/>
      <c r="FI20" s="249" t="e">
        <f>SUM(FD20:FH20)</f>
        <v>#VALUE!</v>
      </c>
      <c r="FJ20" s="236"/>
      <c r="FK20" s="236"/>
      <c r="FL20" s="236"/>
      <c r="FM20" s="236"/>
    </row>
    <row r="21" spans="1:169" ht="27.95" customHeight="1" thickBot="1" x14ac:dyDescent="0.25">
      <c r="A21" s="525">
        <v>3</v>
      </c>
      <c r="B21" s="560" t="s">
        <v>13</v>
      </c>
      <c r="C21" s="561">
        <v>4</v>
      </c>
      <c r="D21" s="562"/>
      <c r="E21" s="563">
        <f>E20+0.0205</f>
        <v>0.10450000000000001</v>
      </c>
      <c r="F21" s="564">
        <f>F16</f>
        <v>0</v>
      </c>
      <c r="G21" s="819" t="str">
        <f t="shared" si="0"/>
        <v>BOULARD  Neyl</v>
      </c>
      <c r="H21" s="820"/>
      <c r="I21" s="820"/>
      <c r="J21" s="820"/>
      <c r="K21" s="820"/>
      <c r="L21" s="517" t="s">
        <v>9</v>
      </c>
      <c r="M21" s="820" t="str">
        <f t="shared" si="1"/>
        <v>CORVAISIER Bastien</v>
      </c>
      <c r="N21" s="820"/>
      <c r="O21" s="820"/>
      <c r="P21" s="820"/>
      <c r="Q21" s="824"/>
      <c r="R21" s="565"/>
      <c r="S21" s="566"/>
      <c r="T21" s="566"/>
      <c r="U21" s="566"/>
      <c r="V21" s="567"/>
      <c r="W21" s="538"/>
      <c r="X21" s="568"/>
      <c r="Y21" s="569"/>
      <c r="Z21" s="570" t="str">
        <f>IF(AND(COUNTIF(($R21:$V21),"&gt;0")&gt;=2),1,IF(AND(COUNTIF(($R21:$V21),"&lt;0")&gt;=2),0,blanc))</f>
        <v xml:space="preserve"> </v>
      </c>
      <c r="AA21" s="571" t="str">
        <f>IF(AND(Z21=0),1,IF(AND(Z21=1),0,blanc))</f>
        <v xml:space="preserve"> </v>
      </c>
      <c r="AC21" s="298">
        <f>IF(AF10&lt;&gt;" ",AF10," ")</f>
        <v>2</v>
      </c>
      <c r="AD21" s="299">
        <f>IF(AF11&lt;&gt;" ",AF11," ")</f>
        <v>3</v>
      </c>
      <c r="AE21" s="300" t="str">
        <f t="shared" si="4"/>
        <v xml:space="preserve"> </v>
      </c>
      <c r="AF21" s="286">
        <f t="shared" si="5"/>
        <v>0</v>
      </c>
      <c r="AG21" s="287">
        <f t="shared" si="6"/>
        <v>0</v>
      </c>
      <c r="AH21" s="284">
        <f t="shared" si="7"/>
        <v>0</v>
      </c>
      <c r="AI21" s="287">
        <f t="shared" si="8"/>
        <v>0</v>
      </c>
      <c r="AJ21" s="288">
        <f t="shared" si="9"/>
        <v>0</v>
      </c>
      <c r="AK21" s="287">
        <f t="shared" si="10"/>
        <v>0</v>
      </c>
      <c r="AL21" s="288">
        <f t="shared" si="11"/>
        <v>0</v>
      </c>
      <c r="AM21" s="287">
        <f t="shared" si="12"/>
        <v>0</v>
      </c>
      <c r="AN21" s="288">
        <f t="shared" si="13"/>
        <v>0</v>
      </c>
      <c r="AO21" s="289">
        <f t="shared" si="14"/>
        <v>0</v>
      </c>
      <c r="AP21" s="301"/>
      <c r="AQ21" s="302">
        <f>IF(BI21&gt;0,1,0)</f>
        <v>0</v>
      </c>
      <c r="AR21" s="302">
        <f>IF(BI21&lt;0,1,0)</f>
        <v>0</v>
      </c>
      <c r="AT21" s="303"/>
      <c r="AU21" s="252"/>
      <c r="AV21" s="236"/>
      <c r="AW21" s="236"/>
      <c r="AX21" s="236"/>
      <c r="AY21" s="304"/>
      <c r="AZ21" s="305">
        <f>IF(BI21&gt;0,1,0)</f>
        <v>0</v>
      </c>
      <c r="BA21" s="305">
        <f>IF(BI21&lt;0,1,0)</f>
        <v>0</v>
      </c>
      <c r="BB21" s="306"/>
      <c r="BC21" s="239">
        <f t="shared" si="15"/>
        <v>0</v>
      </c>
      <c r="BD21" s="239">
        <f t="shared" si="16"/>
        <v>0</v>
      </c>
      <c r="BE21" s="239">
        <f t="shared" si="17"/>
        <v>0</v>
      </c>
      <c r="BF21" s="239">
        <f t="shared" si="18"/>
        <v>0</v>
      </c>
      <c r="BG21" s="239">
        <f t="shared" si="19"/>
        <v>0</v>
      </c>
      <c r="BH21" s="239" t="str">
        <f t="shared" si="20"/>
        <v>M</v>
      </c>
      <c r="BI21" s="239">
        <f t="shared" si="21"/>
        <v>0</v>
      </c>
      <c r="BJ21" s="239"/>
      <c r="BK21" s="239"/>
      <c r="BL21" s="239" t="e">
        <f t="shared" si="22"/>
        <v>#VALUE!</v>
      </c>
      <c r="BM21" s="239">
        <f t="shared" si="23"/>
        <v>0</v>
      </c>
      <c r="BN21" s="239"/>
      <c r="BO21" s="282"/>
      <c r="BQ21" s="268"/>
      <c r="BR21" s="248"/>
      <c r="BS21" s="237" t="str">
        <f>AE12</f>
        <v>D</v>
      </c>
      <c r="BT21" s="237" t="e">
        <f>CA18</f>
        <v>#VALUE!</v>
      </c>
      <c r="BU21" s="237" t="str">
        <f>BZ18</f>
        <v>M</v>
      </c>
      <c r="BV21" s="237" t="e">
        <f>CA19</f>
        <v>#VALUE!</v>
      </c>
      <c r="BW21" s="237" t="str">
        <f>BZ19</f>
        <v>M</v>
      </c>
      <c r="BX21" s="237" t="e">
        <f>CA20</f>
        <v>#VALUE!</v>
      </c>
      <c r="BY21" s="237" t="str">
        <f>BZ20</f>
        <v>M</v>
      </c>
      <c r="BZ21" s="269"/>
      <c r="CA21" s="307"/>
      <c r="CB21" s="248"/>
      <c r="CC21" s="248"/>
      <c r="CD21" s="271"/>
      <c r="CE21" s="271"/>
      <c r="CF21" s="249" t="e">
        <f t="shared" si="2"/>
        <v>#VALUE!</v>
      </c>
      <c r="CG21" s="242" t="e">
        <f t="shared" si="3"/>
        <v>#VALUE!</v>
      </c>
      <c r="CH21" s="308" t="e">
        <f>IF(BT21&gt;BU21,1,0)</f>
        <v>#VALUE!</v>
      </c>
      <c r="CI21" s="308" t="e">
        <f>IF(BV21&gt;BW21,1,0)</f>
        <v>#VALUE!</v>
      </c>
      <c r="CJ21" s="308" t="e">
        <f>IF(BX21&gt;BY21,1,0)</f>
        <v>#VALUE!</v>
      </c>
      <c r="CK21" s="308">
        <f>IF(CB21&gt;CC21,1,0)</f>
        <v>0</v>
      </c>
      <c r="CL21" s="308">
        <f>IF(CD21&gt;CE21,1,0)</f>
        <v>0</v>
      </c>
      <c r="CM21" s="309" t="e">
        <f>IF(BT21&lt;BU21,1,0)</f>
        <v>#VALUE!</v>
      </c>
      <c r="CN21" s="308" t="e">
        <f>IF(BV21&lt;BW21,1,0)</f>
        <v>#VALUE!</v>
      </c>
      <c r="CO21" s="308" t="e">
        <f>IF(BX21&lt;BY21,1,0)</f>
        <v>#VALUE!</v>
      </c>
      <c r="CP21" s="308">
        <f>IF(CB21&lt;CC21,1,0)</f>
        <v>0</v>
      </c>
      <c r="CQ21" s="308">
        <f>IF(CD21&lt;CE21,1,0)</f>
        <v>0</v>
      </c>
      <c r="CR21" s="308" t="s">
        <v>61</v>
      </c>
      <c r="CS21" s="277" t="e">
        <f>IF(CF21=CF18,BB20,"xxx")</f>
        <v>#VALUE!</v>
      </c>
      <c r="CT21" s="277" t="e">
        <f>IF(CF21=CF19,BB23,"xxx")</f>
        <v>#VALUE!</v>
      </c>
      <c r="CU21" s="277" t="e">
        <f>IF(CF21=CF20,BB25,"xxx")</f>
        <v>#VALUE!</v>
      </c>
      <c r="CV21" s="310" t="s">
        <v>53</v>
      </c>
      <c r="CW21" s="311"/>
      <c r="CX21" s="249" t="e">
        <f>SUM(CS21:CW21)</f>
        <v>#VALUE!</v>
      </c>
      <c r="CY21" s="308" t="s">
        <v>61</v>
      </c>
      <c r="CZ21" s="277" t="e">
        <f>IF(CF21=CF18,AY20,"xxx")</f>
        <v>#VALUE!</v>
      </c>
      <c r="DA21" s="277" t="e">
        <f>IF(CF21=CF19,AZ23,"xxx")</f>
        <v>#VALUE!</v>
      </c>
      <c r="DB21" s="277" t="e">
        <f>IF(CF21=CF20,BA25,"xxx")</f>
        <v>#VALUE!</v>
      </c>
      <c r="DC21" s="310" t="s">
        <v>53</v>
      </c>
      <c r="DD21" s="311"/>
      <c r="DE21" s="312" t="e">
        <f>SUM(CZ21:DD21)</f>
        <v>#VALUE!</v>
      </c>
      <c r="DF21" s="308" t="s">
        <v>61</v>
      </c>
      <c r="DG21" s="277" t="e">
        <f>IF(AND(BA12&lt;&gt;0,AY12=AY9),IF(BA12=BA9,BB20,"xxx"),"xxx")</f>
        <v>#VALUE!</v>
      </c>
      <c r="DH21" s="277" t="e">
        <f>IF(AND(BA12&lt;&gt;0,AY12=AY10),IF(BA12=BA10,BB23,"xxx"),"xxx")</f>
        <v>#VALUE!</v>
      </c>
      <c r="DI21" s="277" t="e">
        <f>IF(AND(BA12&lt;&gt;0,AY12=AY11),IF(BA12=BA11,BB25,"xxx"),"xxx")</f>
        <v>#VALUE!</v>
      </c>
      <c r="DJ21" s="310" t="s">
        <v>53</v>
      </c>
      <c r="DK21" s="311"/>
      <c r="DL21" s="249" t="e">
        <f>SUM(DG21:DK21)</f>
        <v>#VALUE!</v>
      </c>
      <c r="DM21" s="308" t="s">
        <v>61</v>
      </c>
      <c r="DN21" s="277" t="e">
        <f>IF(AND(BA12&lt;&gt;0,AY12=AY9),IF(BA12=BA9,AY20,"xxx"),"xxx")</f>
        <v>#VALUE!</v>
      </c>
      <c r="DO21" s="277" t="e">
        <f>IF(AND(BA12&lt;&gt;0,AY12=AY10),IF(BA12=BA10,AZ23,"xxx"),"xxx")</f>
        <v>#VALUE!</v>
      </c>
      <c r="DP21" s="277" t="e">
        <f>IF(AND(BA12&lt;&gt;0,AY12=AY11),IF(BA12=BA11,BA25,"xxx"),"xxx")</f>
        <v>#VALUE!</v>
      </c>
      <c r="DQ21" s="310" t="s">
        <v>53</v>
      </c>
      <c r="DR21" s="311"/>
      <c r="DS21" s="249" t="e">
        <f>SUM(DN21:DR21)</f>
        <v>#VALUE!</v>
      </c>
      <c r="DT21" s="308" t="s">
        <v>61</v>
      </c>
      <c r="DU21" s="277" t="e">
        <f>IF(AND(CF21=CF18,BA12=BA9),BL20,"kkk")</f>
        <v>#VALUE!</v>
      </c>
      <c r="DV21" s="277" t="e">
        <f>IF(AND(CF21=CF19,BA12=BA10),BL23,"kkk")</f>
        <v>#VALUE!</v>
      </c>
      <c r="DW21" s="277" t="e">
        <f>IF(AND(CF21=CF20,BA12=BA11),BL25,"kkk")</f>
        <v>#VALUE!</v>
      </c>
      <c r="DX21" s="310" t="s">
        <v>53</v>
      </c>
      <c r="DY21" s="311"/>
      <c r="DZ21" s="249" t="e">
        <f>SUM(DU21:DY21)</f>
        <v>#VALUE!</v>
      </c>
      <c r="EA21" s="308" t="s">
        <v>61</v>
      </c>
      <c r="EB21" s="277" t="e">
        <f>IF(AND(CF21=CF18,BA12=BA9),BH20,"kkk")</f>
        <v>#VALUE!</v>
      </c>
      <c r="EC21" s="277" t="e">
        <f>IF(AND(CF21=CF19,BA12=BA10),BH23,"kkk")</f>
        <v>#VALUE!</v>
      </c>
      <c r="ED21" s="277" t="e">
        <f>IF(AND(CF21=CF20,BA12=BA11),BH25,"kkk")</f>
        <v>#VALUE!</v>
      </c>
      <c r="EE21" s="310" t="s">
        <v>53</v>
      </c>
      <c r="EF21" s="311"/>
      <c r="EG21" s="249" t="e">
        <f>SUM(EB21:EF21)</f>
        <v>#VALUE!</v>
      </c>
      <c r="EH21" s="308" t="s">
        <v>61</v>
      </c>
      <c r="EI21" s="277" t="e">
        <f>IF(BD12&lt;&gt;"ùùù",IF(AND(CF21=CF18,BD12=BD9),BL20,"kkk"),"kkk")</f>
        <v>#VALUE!</v>
      </c>
      <c r="EJ21" s="277" t="e">
        <f>IF(BD12&lt;&gt;"ùùù",IF(AND(CF21=CF19,BD12=BD10),BL23,"kkk"),"kkk")</f>
        <v>#VALUE!</v>
      </c>
      <c r="EK21" s="277" t="e">
        <f>IF(BD12&lt;&gt;"ùùù",IF(AND(CF21=CF20,BD12=BD11),BL25,"kkk"),"kkk")</f>
        <v>#VALUE!</v>
      </c>
      <c r="EL21" s="310" t="s">
        <v>53</v>
      </c>
      <c r="EM21" s="311"/>
      <c r="EN21" s="249" t="e">
        <f>SUM(EI21:EM21)</f>
        <v>#VALUE!</v>
      </c>
      <c r="EO21" s="308" t="s">
        <v>61</v>
      </c>
      <c r="EP21" s="277" t="e">
        <f>IF(BD12&lt;&gt;"ùùù",IF(AND(CF21=CF18,BD12=BD9),BH20,"kkk"),"kkk")</f>
        <v>#VALUE!</v>
      </c>
      <c r="EQ21" s="277" t="e">
        <f>IF(BD12&lt;&gt;"ùùù",IF(AND(CF21=CF19,BD12=BD10),BH23,"kkk"),"kkk")</f>
        <v>#VALUE!</v>
      </c>
      <c r="ER21" s="277" t="e">
        <f>IF(BD12&lt;&gt;"ùùù",IF(AND(CF21=CF20,BD12=BD11),BH25,"kkk"),"kkk")</f>
        <v>#VALUE!</v>
      </c>
      <c r="ES21" s="310" t="s">
        <v>53</v>
      </c>
      <c r="ET21" s="311"/>
      <c r="EU21" s="249" t="e">
        <f>SUM(EP21:ET21)</f>
        <v>#VALUE!</v>
      </c>
      <c r="EV21" s="308" t="s">
        <v>61</v>
      </c>
      <c r="EW21" s="277" t="e">
        <f>IF(AND(CF21=CF18,BC12=BC9),+AG20+AI20+AK20+AM20+AO20,"xxx")</f>
        <v>#VALUE!</v>
      </c>
      <c r="EX21" s="277" t="e">
        <f>IF(AND(CF21=CF19,BC12=BC10),+AG23+AI23+AK23+AM23+AO23,"xxx")</f>
        <v>#VALUE!</v>
      </c>
      <c r="EY21" s="277" t="e">
        <f>IF(AND(CF21=CF20,BC11=BC12),+AG25+AI25+AK25+AM25+AO25,"xxx")</f>
        <v>#VALUE!</v>
      </c>
      <c r="EZ21" s="310" t="s">
        <v>53</v>
      </c>
      <c r="FA21" s="311"/>
      <c r="FB21" s="249" t="e">
        <f>SUM(EW21:FA21)</f>
        <v>#VALUE!</v>
      </c>
      <c r="FC21" s="308" t="s">
        <v>61</v>
      </c>
      <c r="FD21" s="277" t="e">
        <f>IF(AND(CF21=CF18,BC12=BC9),+AF20+AH20+AJ20+AL20+AN20,"xxx")</f>
        <v>#VALUE!</v>
      </c>
      <c r="FE21" s="277" t="e">
        <f>IF(AND(CF21=CF19,BC12=BC10),+AF23+AH23+AJ23+AL23+AN23,"xxx")</f>
        <v>#VALUE!</v>
      </c>
      <c r="FF21" s="277" t="e">
        <f>IF(AND(CF21=CF20,BC12=BC11),+AF25+AH25+AJ25+AL25+AN25,"xxx")</f>
        <v>#VALUE!</v>
      </c>
      <c r="FG21" s="310" t="s">
        <v>53</v>
      </c>
      <c r="FH21" s="311"/>
      <c r="FI21" s="249" t="e">
        <f>SUM(FD21:FH21)</f>
        <v>#VALUE!</v>
      </c>
      <c r="FJ21" s="236"/>
      <c r="FK21" s="236"/>
      <c r="FL21" s="236"/>
      <c r="FM21" s="236"/>
    </row>
    <row r="22" spans="1:169" ht="21.95" customHeight="1" x14ac:dyDescent="0.2">
      <c r="A22" s="503"/>
      <c r="B22" s="503"/>
      <c r="C22" s="502"/>
      <c r="D22" s="502"/>
      <c r="E22" s="502"/>
      <c r="F22" s="502"/>
      <c r="G22" s="503"/>
      <c r="H22" s="506"/>
      <c r="I22" s="506"/>
      <c r="J22" s="506"/>
      <c r="K22" s="506"/>
      <c r="L22" s="572">
        <v>6</v>
      </c>
      <c r="M22" s="511"/>
      <c r="N22" s="572" t="s">
        <v>3</v>
      </c>
      <c r="O22" s="874" t="s">
        <v>17</v>
      </c>
      <c r="P22" s="875"/>
      <c r="Q22" s="875"/>
      <c r="R22" s="875"/>
      <c r="S22" s="875"/>
      <c r="T22" s="875"/>
      <c r="U22" s="875"/>
      <c r="V22" s="876"/>
      <c r="W22" s="573"/>
      <c r="X22" s="574" t="str">
        <f>IF($R$16="","",SUM(X16:X21))</f>
        <v/>
      </c>
      <c r="Y22" s="575" t="str">
        <f>IF($R$16="","",SUM(Y16:Y21))</f>
        <v/>
      </c>
      <c r="Z22" s="575" t="str">
        <f>IF($R$16="","",SUM(Z16:Z21))</f>
        <v/>
      </c>
      <c r="AA22" s="576" t="str">
        <f>IF($R$16="","",SUM(AA16:AA21))</f>
        <v/>
      </c>
      <c r="AB22" s="601">
        <f>SUM(X22:AA22)</f>
        <v>0</v>
      </c>
      <c r="AC22" s="298">
        <f>IF(AF9&lt;&gt;" ",AF9," ")</f>
        <v>1</v>
      </c>
      <c r="AD22" s="299">
        <f>IF(AF11&lt;&gt;" ",AF11," ")</f>
        <v>3</v>
      </c>
      <c r="AE22" s="300" t="str">
        <f t="shared" si="4"/>
        <v xml:space="preserve"> </v>
      </c>
      <c r="AF22" s="286">
        <f t="shared" si="5"/>
        <v>0</v>
      </c>
      <c r="AG22" s="287">
        <f t="shared" si="6"/>
        <v>0</v>
      </c>
      <c r="AH22" s="284">
        <f t="shared" si="7"/>
        <v>0</v>
      </c>
      <c r="AI22" s="287">
        <f t="shared" si="8"/>
        <v>0</v>
      </c>
      <c r="AJ22" s="288">
        <f t="shared" si="9"/>
        <v>0</v>
      </c>
      <c r="AK22" s="287">
        <f t="shared" si="10"/>
        <v>0</v>
      </c>
      <c r="AL22" s="288">
        <f t="shared" si="11"/>
        <v>0</v>
      </c>
      <c r="AM22" s="287">
        <f t="shared" si="12"/>
        <v>0</v>
      </c>
      <c r="AN22" s="288">
        <f t="shared" si="13"/>
        <v>0</v>
      </c>
      <c r="AO22" s="289">
        <f t="shared" si="14"/>
        <v>0</v>
      </c>
      <c r="AP22" s="313">
        <f>IF(BI22&gt;0,1,0)</f>
        <v>0</v>
      </c>
      <c r="AQ22" s="314"/>
      <c r="AR22" s="315">
        <f>IF(BI22&lt;0,1,0)</f>
        <v>0</v>
      </c>
      <c r="AS22" s="316"/>
      <c r="AT22" s="292"/>
      <c r="AU22" s="252"/>
      <c r="AV22" s="236"/>
      <c r="AW22" s="236"/>
      <c r="AX22" s="236"/>
      <c r="AY22" s="317">
        <f>IF(BI22&gt;0,1,0)</f>
        <v>0</v>
      </c>
      <c r="AZ22" s="318"/>
      <c r="BA22" s="305">
        <f>IF(BI22&lt;0,1,0)</f>
        <v>0</v>
      </c>
      <c r="BB22" s="319"/>
      <c r="BC22" s="239">
        <f t="shared" si="15"/>
        <v>0</v>
      </c>
      <c r="BD22" s="239">
        <f t="shared" si="16"/>
        <v>0</v>
      </c>
      <c r="BE22" s="239">
        <f t="shared" si="17"/>
        <v>0</v>
      </c>
      <c r="BF22" s="239">
        <f t="shared" si="18"/>
        <v>0</v>
      </c>
      <c r="BG22" s="239">
        <f t="shared" si="19"/>
        <v>0</v>
      </c>
      <c r="BH22" s="239" t="str">
        <f t="shared" si="20"/>
        <v>M</v>
      </c>
      <c r="BI22" s="239">
        <f t="shared" si="21"/>
        <v>0</v>
      </c>
      <c r="BJ22" s="239"/>
      <c r="BK22" s="239"/>
      <c r="BL22" s="239" t="e">
        <f t="shared" si="22"/>
        <v>#VALUE!</v>
      </c>
      <c r="BM22" s="239">
        <f t="shared" si="23"/>
        <v>0</v>
      </c>
      <c r="BN22" s="239"/>
      <c r="BO22" s="282"/>
      <c r="BQ22" s="268"/>
      <c r="BR22" s="248"/>
      <c r="BS22" s="308">
        <f>AE13</f>
        <v>0</v>
      </c>
      <c r="BT22" s="308">
        <f>CC18</f>
        <v>0</v>
      </c>
      <c r="BU22" s="308">
        <f>CB18</f>
        <v>0</v>
      </c>
      <c r="BV22" s="308">
        <f>CC19</f>
        <v>0</v>
      </c>
      <c r="BW22" s="308">
        <f>CB19</f>
        <v>0</v>
      </c>
      <c r="BX22" s="308">
        <f>CC20</f>
        <v>0</v>
      </c>
      <c r="BY22" s="308">
        <f>CB20</f>
        <v>0</v>
      </c>
      <c r="BZ22" s="308">
        <f>CC21</f>
        <v>0</v>
      </c>
      <c r="CA22" s="320">
        <f>CB21</f>
        <v>0</v>
      </c>
      <c r="CB22" s="271"/>
      <c r="CC22" s="271"/>
      <c r="CD22" s="271"/>
      <c r="CE22" s="271"/>
      <c r="CF22" s="249">
        <f t="shared" si="2"/>
        <v>0</v>
      </c>
      <c r="CG22" s="242">
        <f t="shared" si="3"/>
        <v>0</v>
      </c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52"/>
      <c r="CT22" s="252"/>
      <c r="CU22" s="252"/>
      <c r="CV22" s="252"/>
      <c r="CW22" s="252"/>
      <c r="CX22" s="252"/>
      <c r="CY22" s="271"/>
      <c r="CZ22" s="252"/>
      <c r="DA22" s="252"/>
      <c r="DB22" s="252"/>
      <c r="DC22" s="252"/>
      <c r="DD22" s="252"/>
      <c r="DE22" s="252"/>
      <c r="DF22" s="271"/>
      <c r="DG22" s="252"/>
      <c r="DH22" s="252"/>
      <c r="DI22" s="252"/>
      <c r="DJ22" s="252"/>
      <c r="DK22" s="252"/>
      <c r="DL22" s="252"/>
      <c r="DM22" s="271"/>
      <c r="DN22" s="252"/>
      <c r="DO22" s="252"/>
      <c r="DP22" s="252"/>
      <c r="DQ22" s="252"/>
      <c r="DR22" s="252"/>
      <c r="DS22" s="252"/>
      <c r="DT22" s="271"/>
      <c r="DU22" s="252"/>
      <c r="DV22" s="252"/>
      <c r="DW22" s="252"/>
      <c r="DX22" s="252"/>
      <c r="DY22" s="252"/>
      <c r="DZ22" s="252"/>
      <c r="EA22" s="271"/>
      <c r="EB22" s="252"/>
      <c r="EC22" s="252"/>
      <c r="ED22" s="252"/>
      <c r="EE22" s="252"/>
      <c r="EF22" s="252"/>
      <c r="EG22" s="252"/>
      <c r="EH22" s="271"/>
      <c r="EI22" s="252"/>
      <c r="EJ22" s="252"/>
      <c r="EK22" s="252"/>
      <c r="EL22" s="252"/>
      <c r="EM22" s="252"/>
      <c r="EN22" s="252"/>
      <c r="EO22" s="271"/>
      <c r="EP22" s="252"/>
      <c r="EQ22" s="252"/>
      <c r="ER22" s="252"/>
      <c r="ES22" s="252"/>
      <c r="ET22" s="252"/>
      <c r="EU22" s="252"/>
      <c r="EV22" s="271"/>
      <c r="EW22" s="252"/>
      <c r="EX22" s="252"/>
      <c r="EY22" s="252"/>
      <c r="EZ22" s="252"/>
      <c r="FA22" s="252"/>
      <c r="FB22" s="252"/>
      <c r="FC22" s="271"/>
      <c r="FD22" s="252"/>
      <c r="FE22" s="252"/>
      <c r="FF22" s="252"/>
      <c r="FG22" s="252"/>
      <c r="FH22" s="252"/>
      <c r="FI22" s="252"/>
      <c r="FJ22" s="236"/>
      <c r="FK22" s="236"/>
      <c r="FL22" s="236"/>
      <c r="FM22" s="236"/>
    </row>
    <row r="23" spans="1:169" ht="21.95" customHeight="1" thickBot="1" x14ac:dyDescent="0.25">
      <c r="A23" s="503"/>
      <c r="B23" s="577" t="s">
        <v>4</v>
      </c>
      <c r="C23" s="503"/>
      <c r="D23" s="503"/>
      <c r="E23" s="503"/>
      <c r="F23" s="503"/>
      <c r="G23" s="503"/>
      <c r="H23" s="506"/>
      <c r="I23" s="506"/>
      <c r="J23" s="506"/>
      <c r="K23" s="578" t="s">
        <v>3</v>
      </c>
      <c r="L23" s="579"/>
      <c r="M23" s="580" t="str">
        <f>IF(AB23=AB22,K23,IF(AB23&gt;AB22,""))</f>
        <v/>
      </c>
      <c r="N23" s="506"/>
      <c r="O23" s="833" t="s">
        <v>18</v>
      </c>
      <c r="P23" s="834"/>
      <c r="Q23" s="834"/>
      <c r="R23" s="834"/>
      <c r="S23" s="834"/>
      <c r="T23" s="834"/>
      <c r="U23" s="834"/>
      <c r="V23" s="835"/>
      <c r="W23" s="573"/>
      <c r="X23" s="581" t="str">
        <f>IF(M23="OK",BK9,"")</f>
        <v/>
      </c>
      <c r="Y23" s="582" t="str">
        <f>IF(M23="OK",BK10,"")</f>
        <v/>
      </c>
      <c r="Z23" s="582" t="str">
        <f>IF(M23="OK",BK11,"")</f>
        <v/>
      </c>
      <c r="AA23" s="583" t="str">
        <f>IF(M23="OK",BK12,"")</f>
        <v/>
      </c>
      <c r="AB23" s="601">
        <v>6</v>
      </c>
      <c r="AC23" s="283">
        <f>IF(AF10&lt;&gt;" ",AF10," ")</f>
        <v>2</v>
      </c>
      <c r="AD23" s="284">
        <f>IF(AF12&lt;&gt;" ",AF12," ")</f>
        <v>4</v>
      </c>
      <c r="AE23" s="300" t="str">
        <f t="shared" si="4"/>
        <v xml:space="preserve"> </v>
      </c>
      <c r="AF23" s="286">
        <f t="shared" si="5"/>
        <v>0</v>
      </c>
      <c r="AG23" s="287">
        <f t="shared" si="6"/>
        <v>0</v>
      </c>
      <c r="AH23" s="284">
        <f t="shared" si="7"/>
        <v>0</v>
      </c>
      <c r="AI23" s="287">
        <f t="shared" si="8"/>
        <v>0</v>
      </c>
      <c r="AJ23" s="288">
        <f t="shared" si="9"/>
        <v>0</v>
      </c>
      <c r="AK23" s="287">
        <f t="shared" si="10"/>
        <v>0</v>
      </c>
      <c r="AL23" s="288">
        <f t="shared" si="11"/>
        <v>0</v>
      </c>
      <c r="AM23" s="287">
        <f t="shared" si="12"/>
        <v>0</v>
      </c>
      <c r="AN23" s="288">
        <f t="shared" si="13"/>
        <v>0</v>
      </c>
      <c r="AO23" s="289">
        <f t="shared" si="14"/>
        <v>0</v>
      </c>
      <c r="AP23" s="301"/>
      <c r="AQ23" s="302">
        <f>IF(BI23&gt;0,1,0)</f>
        <v>0</v>
      </c>
      <c r="AR23" s="306"/>
      <c r="AS23" s="321">
        <f>IF(BI23&lt;0,1,0)</f>
        <v>0</v>
      </c>
      <c r="AT23" s="303"/>
      <c r="AU23" s="252"/>
      <c r="AV23" s="236"/>
      <c r="AW23" s="236"/>
      <c r="AX23" s="236"/>
      <c r="AY23" s="304"/>
      <c r="AZ23" s="305">
        <f>IF(BI23&gt;0,1,0)</f>
        <v>0</v>
      </c>
      <c r="BB23" s="322">
        <f>IF(BI23&lt;0,1,0)</f>
        <v>0</v>
      </c>
      <c r="BC23" s="239">
        <f t="shared" si="15"/>
        <v>0</v>
      </c>
      <c r="BD23" s="239">
        <f t="shared" si="16"/>
        <v>0</v>
      </c>
      <c r="BE23" s="239">
        <f t="shared" si="17"/>
        <v>0</v>
      </c>
      <c r="BF23" s="239">
        <f t="shared" si="18"/>
        <v>0</v>
      </c>
      <c r="BG23" s="239">
        <f t="shared" si="19"/>
        <v>0</v>
      </c>
      <c r="BH23" s="239" t="str">
        <f t="shared" si="20"/>
        <v>M</v>
      </c>
      <c r="BI23" s="239">
        <f t="shared" si="21"/>
        <v>0</v>
      </c>
      <c r="BJ23" s="239"/>
      <c r="BK23" s="239"/>
      <c r="BL23" s="239" t="e">
        <f t="shared" si="22"/>
        <v>#VALUE!</v>
      </c>
      <c r="BM23" s="239">
        <f t="shared" si="23"/>
        <v>0</v>
      </c>
      <c r="BN23" s="239"/>
      <c r="BO23" s="282"/>
      <c r="BQ23" s="26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71"/>
      <c r="CE23" s="271"/>
      <c r="CF23" s="249">
        <f t="shared" si="2"/>
        <v>0</v>
      </c>
      <c r="CG23" s="242">
        <f t="shared" si="3"/>
        <v>0</v>
      </c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52"/>
      <c r="CT23" s="252"/>
      <c r="CU23" s="252"/>
      <c r="CV23" s="252"/>
      <c r="CW23" s="252"/>
      <c r="CX23" s="252"/>
      <c r="CY23" s="249"/>
      <c r="CZ23" s="271"/>
      <c r="DA23" s="252"/>
      <c r="DB23" s="252"/>
      <c r="DC23" s="252"/>
      <c r="DD23" s="252"/>
      <c r="DE23" s="252"/>
      <c r="DF23" s="271"/>
      <c r="DG23" s="252"/>
      <c r="DH23" s="252"/>
      <c r="DI23" s="252"/>
      <c r="DJ23" s="252"/>
      <c r="DK23" s="252"/>
      <c r="DL23" s="252"/>
      <c r="DM23" s="271"/>
      <c r="DN23" s="252"/>
      <c r="DO23" s="252"/>
      <c r="DP23" s="252"/>
      <c r="DQ23" s="252"/>
      <c r="DR23" s="252"/>
      <c r="DS23" s="252"/>
      <c r="DT23" s="248"/>
      <c r="DU23" s="249"/>
      <c r="DV23" s="236"/>
      <c r="DW23" s="248"/>
      <c r="DX23" s="249"/>
      <c r="DY23" s="249"/>
      <c r="DZ23" s="248"/>
      <c r="EA23" s="248"/>
      <c r="EB23" s="249" t="e">
        <f>IF(EG18&gt;0,DZ18/EG18,"???")</f>
        <v>#VALUE!</v>
      </c>
      <c r="EC23" s="249" t="e">
        <f>IF(EG19&gt;0,DZ19/EG19,"???")</f>
        <v>#VALUE!</v>
      </c>
      <c r="ED23" s="249" t="e">
        <f>IF(EG20&gt;0,DZ20/EG20,"???")</f>
        <v>#VALUE!</v>
      </c>
      <c r="EE23" s="249" t="e">
        <f>IF(EG21&gt;0,DZ21/EG21,"???")</f>
        <v>#VALUE!</v>
      </c>
      <c r="EF23" s="249" t="str">
        <f>IF(EG22&gt;0,DZ22/EG22,"???")</f>
        <v>???</v>
      </c>
      <c r="EG23" s="249"/>
      <c r="EH23" s="271"/>
      <c r="EI23" s="252"/>
      <c r="EJ23" s="252"/>
      <c r="EK23" s="252"/>
      <c r="EL23" s="252"/>
      <c r="EM23" s="252"/>
      <c r="EN23" s="249">
        <f>SUM(EI23:EM23)</f>
        <v>0</v>
      </c>
      <c r="EO23" s="271"/>
      <c r="EP23" s="248" t="e">
        <f>IF(EU18&gt;0,EN18/EU18,"???")</f>
        <v>#VALUE!</v>
      </c>
      <c r="EQ23" s="248" t="e">
        <f>IF(EU19&gt;0,EN19/EU19,"???")</f>
        <v>#VALUE!</v>
      </c>
      <c r="ER23" s="248" t="e">
        <f>IF(EU20&gt;0,EN20/EU20,"???")</f>
        <v>#VALUE!</v>
      </c>
      <c r="ES23" s="248" t="e">
        <f>IF(EU21&gt;0,EN21/EU21,"???")</f>
        <v>#VALUE!</v>
      </c>
      <c r="ET23" s="248" t="str">
        <f>IF(EU22&gt;0,EN22/EU22,"???")</f>
        <v>???</v>
      </c>
      <c r="EU23" s="249"/>
      <c r="EV23" s="271"/>
      <c r="EW23" s="252"/>
      <c r="EX23" s="252"/>
      <c r="EY23" s="252"/>
      <c r="EZ23" s="252"/>
      <c r="FA23" s="252"/>
      <c r="FB23" s="323" t="e">
        <f>SUM(FB18:FB22)</f>
        <v>#VALUE!</v>
      </c>
      <c r="FC23" s="271"/>
      <c r="FD23" s="252"/>
      <c r="FF23" s="252"/>
      <c r="FG23" s="252"/>
      <c r="FH23" s="252"/>
      <c r="FI23" s="323" t="e">
        <f>SUM(FI18:FI22)</f>
        <v>#VALUE!</v>
      </c>
      <c r="FJ23" s="236"/>
      <c r="FK23" s="236"/>
      <c r="FL23" s="236"/>
      <c r="FM23" s="236"/>
    </row>
    <row r="24" spans="1:169" ht="27.95" customHeight="1" thickBot="1" x14ac:dyDescent="0.25">
      <c r="A24" s="504"/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6"/>
      <c r="AC24" s="298">
        <f>IF(AF9&lt;&gt;" ",AF9," ")</f>
        <v>1</v>
      </c>
      <c r="AD24" s="299">
        <f>IF(AF10&lt;&gt;" ",AF10," ")</f>
        <v>2</v>
      </c>
      <c r="AE24" s="300" t="str">
        <f t="shared" si="4"/>
        <v xml:space="preserve"> </v>
      </c>
      <c r="AF24" s="286">
        <f t="shared" si="5"/>
        <v>0</v>
      </c>
      <c r="AG24" s="287">
        <f t="shared" si="6"/>
        <v>0</v>
      </c>
      <c r="AH24" s="284">
        <f t="shared" si="7"/>
        <v>0</v>
      </c>
      <c r="AI24" s="287">
        <f t="shared" si="8"/>
        <v>0</v>
      </c>
      <c r="AJ24" s="288">
        <f t="shared" si="9"/>
        <v>0</v>
      </c>
      <c r="AK24" s="287">
        <f t="shared" si="10"/>
        <v>0</v>
      </c>
      <c r="AL24" s="288">
        <f t="shared" si="11"/>
        <v>0</v>
      </c>
      <c r="AM24" s="287">
        <f t="shared" si="12"/>
        <v>0</v>
      </c>
      <c r="AN24" s="288">
        <f t="shared" si="13"/>
        <v>0</v>
      </c>
      <c r="AO24" s="289">
        <f t="shared" si="14"/>
        <v>0</v>
      </c>
      <c r="AP24" s="313">
        <f>IF(BI24&gt;0,1,0)</f>
        <v>0</v>
      </c>
      <c r="AQ24" s="302">
        <f>IF(BI24&lt;0,1,0)</f>
        <v>0</v>
      </c>
      <c r="AR24" s="324"/>
      <c r="AT24" s="303"/>
      <c r="AU24" s="252"/>
      <c r="AV24" s="236"/>
      <c r="AW24" s="236"/>
      <c r="AX24" s="236"/>
      <c r="AY24" s="317">
        <f>IF(BI24&gt;0,1,0)</f>
        <v>0</v>
      </c>
      <c r="AZ24" s="305">
        <f>IF(BI24&lt;0,1,0)</f>
        <v>0</v>
      </c>
      <c r="BA24" s="318"/>
      <c r="BB24" s="325"/>
      <c r="BC24" s="239">
        <f t="shared" si="15"/>
        <v>0</v>
      </c>
      <c r="BD24" s="239">
        <f t="shared" si="16"/>
        <v>0</v>
      </c>
      <c r="BE24" s="239">
        <f t="shared" si="17"/>
        <v>0</v>
      </c>
      <c r="BF24" s="239">
        <f t="shared" si="18"/>
        <v>0</v>
      </c>
      <c r="BG24" s="239">
        <f t="shared" si="19"/>
        <v>0</v>
      </c>
      <c r="BH24" s="239" t="str">
        <f t="shared" si="20"/>
        <v>M</v>
      </c>
      <c r="BI24" s="239">
        <f t="shared" si="21"/>
        <v>0</v>
      </c>
      <c r="BJ24" s="239"/>
      <c r="BK24" s="239"/>
      <c r="BL24" s="239" t="e">
        <f t="shared" si="22"/>
        <v>#VALUE!</v>
      </c>
      <c r="BM24" s="239">
        <f t="shared" si="23"/>
        <v>0</v>
      </c>
      <c r="BN24" s="239"/>
      <c r="BO24" s="282"/>
      <c r="BQ24" s="26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9">
        <f t="shared" si="2"/>
        <v>0</v>
      </c>
      <c r="CG24" s="242">
        <f t="shared" si="3"/>
        <v>0</v>
      </c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49"/>
      <c r="CZ24" s="271"/>
      <c r="DA24" s="252"/>
      <c r="DB24" s="252"/>
      <c r="DC24" s="252"/>
      <c r="DD24" s="252"/>
      <c r="DE24" s="252"/>
      <c r="DF24" s="252"/>
      <c r="DG24" s="252"/>
      <c r="DH24" s="271"/>
      <c r="DI24" s="252"/>
      <c r="DJ24" s="252"/>
      <c r="DK24" s="252"/>
      <c r="DL24" s="252"/>
      <c r="DM24" s="271"/>
      <c r="DN24" s="252"/>
      <c r="DO24" s="252"/>
      <c r="DP24" s="252"/>
      <c r="DQ24" s="252"/>
      <c r="DR24" s="252"/>
      <c r="DS24" s="252"/>
      <c r="DT24" s="248"/>
      <c r="DU24" s="249"/>
      <c r="DV24" s="249"/>
      <c r="DW24" s="249"/>
      <c r="DX24" s="249"/>
      <c r="DY24" s="249"/>
      <c r="DZ24" s="252"/>
      <c r="EA24" s="248"/>
      <c r="EH24" s="271"/>
      <c r="EI24" s="271"/>
      <c r="EJ24" s="271"/>
      <c r="EK24" s="271"/>
      <c r="EL24" s="271"/>
      <c r="EM24" s="271"/>
      <c r="EN24" s="249">
        <f>SUM(EI24:EM24)</f>
        <v>0</v>
      </c>
      <c r="EO24" s="236"/>
      <c r="EP24" s="236"/>
      <c r="EQ24" s="236"/>
      <c r="ER24" s="236"/>
      <c r="ES24" s="236"/>
      <c r="ET24" s="236"/>
      <c r="EU24" s="236"/>
      <c r="EV24" s="271"/>
      <c r="EW24" s="252"/>
      <c r="EX24" s="252"/>
      <c r="EY24" s="249"/>
      <c r="EZ24" s="252"/>
      <c r="FA24" s="252"/>
      <c r="FB24" s="252"/>
      <c r="FC24" s="271"/>
      <c r="FD24" s="252"/>
      <c r="FE24" s="248"/>
      <c r="FF24" s="252"/>
      <c r="FG24" s="252"/>
      <c r="FH24" s="252"/>
      <c r="FI24" s="252"/>
      <c r="FJ24" s="236"/>
      <c r="FK24" s="236"/>
      <c r="FL24" s="236"/>
      <c r="FM24" s="236"/>
    </row>
    <row r="25" spans="1:169" ht="27.95" customHeight="1" thickBot="1" x14ac:dyDescent="0.25">
      <c r="A25" s="881" t="s">
        <v>289</v>
      </c>
      <c r="B25" s="882"/>
      <c r="C25" s="870" t="str">
        <f>IF($AB22&lt;6,"",IF($X23=1,C9,IF($Y23=1,C10,IF($Z23=1,C11,IF($AA23=1,C12)))))</f>
        <v/>
      </c>
      <c r="D25" s="871"/>
      <c r="E25" s="811" t="str">
        <f>IF(C25="","",VLOOKUP(C25,liste!$A$9:$G$145,2,FALSE))</f>
        <v/>
      </c>
      <c r="F25" s="812"/>
      <c r="G25" s="812"/>
      <c r="H25" s="812"/>
      <c r="I25" s="813"/>
      <c r="J25" s="584" t="str">
        <f>IF(C25="","",VLOOKUP(C25,liste!$A$9:$G$145,4,FALSE))</f>
        <v/>
      </c>
      <c r="K25" s="811" t="str">
        <f>IF(C25="","",VLOOKUP(C25,liste!$A$9:$G$145,3,FALSE))</f>
        <v/>
      </c>
      <c r="L25" s="812"/>
      <c r="M25" s="812"/>
      <c r="N25" s="813"/>
      <c r="O25" s="513"/>
      <c r="P25" s="892" t="s">
        <v>294</v>
      </c>
      <c r="Q25" s="892"/>
      <c r="R25" s="892"/>
      <c r="S25" s="504"/>
      <c r="T25" s="504"/>
      <c r="U25" s="504"/>
      <c r="V25" s="504"/>
      <c r="W25" s="504"/>
      <c r="X25" s="504"/>
      <c r="Y25" s="504"/>
      <c r="Z25" s="504"/>
      <c r="AA25" s="506"/>
      <c r="AC25" s="298">
        <f>IF(AF11&lt;&gt;" ",AF11," ")</f>
        <v>3</v>
      </c>
      <c r="AD25" s="299">
        <f>IF(AF12&lt;&gt;" ",AF12," ")</f>
        <v>4</v>
      </c>
      <c r="AE25" s="300" t="str">
        <f t="shared" si="4"/>
        <v xml:space="preserve"> </v>
      </c>
      <c r="AF25" s="286">
        <f t="shared" si="5"/>
        <v>0</v>
      </c>
      <c r="AG25" s="287">
        <f t="shared" si="6"/>
        <v>0</v>
      </c>
      <c r="AH25" s="284">
        <f t="shared" si="7"/>
        <v>0</v>
      </c>
      <c r="AI25" s="287">
        <f t="shared" si="8"/>
        <v>0</v>
      </c>
      <c r="AJ25" s="288">
        <f t="shared" si="9"/>
        <v>0</v>
      </c>
      <c r="AK25" s="287">
        <f t="shared" si="10"/>
        <v>0</v>
      </c>
      <c r="AL25" s="288">
        <f t="shared" si="11"/>
        <v>0</v>
      </c>
      <c r="AM25" s="287">
        <f t="shared" si="12"/>
        <v>0</v>
      </c>
      <c r="AN25" s="288">
        <f t="shared" si="13"/>
        <v>0</v>
      </c>
      <c r="AO25" s="289">
        <f t="shared" si="14"/>
        <v>0</v>
      </c>
      <c r="AP25" s="301"/>
      <c r="AR25" s="302">
        <f>IF(BI25&gt;0,1,0)</f>
        <v>0</v>
      </c>
      <c r="AS25" s="315">
        <f>IF(BI25&lt;0,1,0)</f>
        <v>0</v>
      </c>
      <c r="AT25" s="292"/>
      <c r="AU25" s="252"/>
      <c r="AV25" s="236"/>
      <c r="AW25" s="236"/>
      <c r="AX25" s="236"/>
      <c r="AY25" s="326"/>
      <c r="AZ25" s="327"/>
      <c r="BA25" s="328">
        <f>IF(BI25&gt;0,1,0)</f>
        <v>0</v>
      </c>
      <c r="BB25" s="328">
        <f>IF(BI25&lt;0,1,0)</f>
        <v>0</v>
      </c>
      <c r="BC25" s="329">
        <f t="shared" si="15"/>
        <v>0</v>
      </c>
      <c r="BD25" s="329">
        <f t="shared" si="16"/>
        <v>0</v>
      </c>
      <c r="BE25" s="329">
        <f t="shared" si="17"/>
        <v>0</v>
      </c>
      <c r="BF25" s="329">
        <f t="shared" si="18"/>
        <v>0</v>
      </c>
      <c r="BG25" s="329">
        <f t="shared" si="19"/>
        <v>0</v>
      </c>
      <c r="BH25" s="329" t="str">
        <f t="shared" si="20"/>
        <v>M</v>
      </c>
      <c r="BI25" s="329">
        <f t="shared" si="21"/>
        <v>0</v>
      </c>
      <c r="BJ25" s="329"/>
      <c r="BK25" s="329"/>
      <c r="BL25" s="329" t="e">
        <f t="shared" si="22"/>
        <v>#VALUE!</v>
      </c>
      <c r="BM25" s="329">
        <f t="shared" si="23"/>
        <v>0</v>
      </c>
      <c r="BN25" s="329"/>
      <c r="BO25" s="330"/>
      <c r="BQ25" s="268"/>
      <c r="BR25" s="248"/>
      <c r="BS25" s="248">
        <f>AE16</f>
        <v>0</v>
      </c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8"/>
      <c r="CM25" s="248"/>
      <c r="CN25" s="248"/>
      <c r="CO25" s="248"/>
      <c r="CP25" s="248"/>
      <c r="CQ25" s="248"/>
      <c r="CR25" s="248"/>
      <c r="CS25" s="248"/>
      <c r="CT25" s="248"/>
      <c r="CU25" s="248"/>
      <c r="CV25" s="248"/>
      <c r="CW25" s="248"/>
      <c r="CX25" s="248"/>
      <c r="CY25" s="248"/>
      <c r="CZ25" s="248"/>
      <c r="DA25" s="249"/>
      <c r="DB25" s="249"/>
      <c r="DC25" s="249"/>
      <c r="DD25" s="249"/>
      <c r="DE25" s="249"/>
      <c r="DF25" s="249"/>
      <c r="DG25" s="248"/>
      <c r="DH25" s="248"/>
      <c r="DI25" s="249"/>
      <c r="DJ25" s="249"/>
      <c r="DK25" s="249"/>
      <c r="DL25" s="249"/>
      <c r="DM25" s="249"/>
      <c r="DN25" s="249"/>
      <c r="DO25" s="248"/>
      <c r="DP25" s="248"/>
      <c r="DQ25" s="249"/>
      <c r="DR25" s="249"/>
      <c r="DS25" s="249"/>
      <c r="DT25" s="236"/>
      <c r="DU25" s="236"/>
      <c r="DV25" s="236"/>
      <c r="DW25" s="236"/>
      <c r="DX25" s="236"/>
      <c r="DY25" s="236"/>
      <c r="DZ25" s="236"/>
      <c r="EA25" s="248"/>
      <c r="EB25" s="236"/>
      <c r="EC25" s="236"/>
      <c r="ED25" s="236"/>
      <c r="EE25" s="236"/>
      <c r="EF25" s="236"/>
      <c r="EG25" s="252"/>
      <c r="EH25" s="248"/>
      <c r="EI25" s="248"/>
      <c r="EJ25" s="248"/>
      <c r="EK25" s="248"/>
      <c r="EL25" s="248"/>
      <c r="EM25" s="248"/>
      <c r="EN25" s="248"/>
      <c r="EO25" s="236"/>
      <c r="EP25" s="236"/>
      <c r="EQ25" s="236"/>
      <c r="ER25" s="236"/>
      <c r="ES25" s="236"/>
      <c r="ET25" s="236"/>
      <c r="EU25" s="248"/>
      <c r="EV25" s="248"/>
      <c r="EW25" s="248"/>
      <c r="EX25" s="248"/>
      <c r="EY25" s="248"/>
      <c r="EZ25" s="248"/>
      <c r="FA25" s="248"/>
      <c r="FB25" s="248"/>
      <c r="FC25" s="248"/>
      <c r="FD25" s="248"/>
      <c r="FF25" s="248"/>
      <c r="FG25" s="248"/>
      <c r="FH25" s="248"/>
      <c r="FI25" s="248"/>
      <c r="FJ25" s="236"/>
      <c r="FK25" s="236"/>
      <c r="FL25" s="236"/>
      <c r="FM25" s="236"/>
    </row>
    <row r="26" spans="1:169" ht="27.95" customHeight="1" thickTop="1" thickBot="1" x14ac:dyDescent="0.25">
      <c r="A26" s="877" t="s">
        <v>290</v>
      </c>
      <c r="B26" s="878"/>
      <c r="C26" s="868" t="str">
        <f>IF($AB22&lt;6,"",IF($X23=2,C9,IF($Y23=2,C10,IF($Z23=2,C11,IF($AA23=2,C12)))))</f>
        <v/>
      </c>
      <c r="D26" s="869"/>
      <c r="E26" s="804" t="str">
        <f>IF(C26="","",VLOOKUP(C26,liste!$A$9:$G$145,2,FALSE))</f>
        <v/>
      </c>
      <c r="F26" s="805"/>
      <c r="G26" s="805"/>
      <c r="H26" s="805"/>
      <c r="I26" s="806"/>
      <c r="J26" s="585" t="str">
        <f>IF(C26="","",VLOOKUP(C26,liste!$A$9:$G$145,4,FALSE))</f>
        <v/>
      </c>
      <c r="K26" s="804" t="str">
        <f>IF(C26="","",VLOOKUP(C26,liste!$A$9:$G$145,3,FALSE))</f>
        <v/>
      </c>
      <c r="L26" s="805"/>
      <c r="M26" s="805"/>
      <c r="N26" s="806"/>
      <c r="O26" s="504"/>
      <c r="P26" s="825">
        <f>liste!$B$145</f>
        <v>0</v>
      </c>
      <c r="Q26" s="825"/>
      <c r="R26" s="825"/>
      <c r="S26" s="825"/>
      <c r="T26" s="825"/>
      <c r="U26" s="825"/>
      <c r="V26" s="504"/>
      <c r="W26" s="504"/>
      <c r="X26" s="504"/>
      <c r="Y26" s="504"/>
      <c r="Z26" s="504"/>
      <c r="AA26" s="506"/>
      <c r="AC26" s="331"/>
      <c r="AD26" s="332"/>
      <c r="AE26" s="332"/>
      <c r="AF26" s="333"/>
      <c r="AG26" s="333"/>
      <c r="AH26" s="333"/>
      <c r="AI26" s="333"/>
      <c r="AJ26" s="334"/>
      <c r="AK26" s="334"/>
      <c r="AL26" s="335"/>
      <c r="AM26" s="334" t="s">
        <v>72</v>
      </c>
      <c r="AN26" s="333"/>
      <c r="AO26" s="336"/>
      <c r="AP26" s="337">
        <f>SUM(AP20:AP25)</f>
        <v>0</v>
      </c>
      <c r="AQ26" s="338">
        <f>SUM(AQ20:AQ25)</f>
        <v>0</v>
      </c>
      <c r="AR26" s="338">
        <f>SUM(AR20:AR25)</f>
        <v>0</v>
      </c>
      <c r="AS26" s="339">
        <f>SUM(AS20:AS25)</f>
        <v>0</v>
      </c>
      <c r="AT26" s="340">
        <f>SUM(AT20:AT25)</f>
        <v>0</v>
      </c>
      <c r="AU26" s="252"/>
      <c r="AV26" s="236"/>
      <c r="AW26" s="236"/>
      <c r="AX26" s="236"/>
      <c r="AY26" s="323"/>
      <c r="AZ26" s="323"/>
      <c r="BA26" s="323"/>
      <c r="BB26" s="323"/>
      <c r="BC26" s="323"/>
      <c r="BD26" s="252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8"/>
      <c r="BS26" s="248">
        <f>AE17</f>
        <v>0</v>
      </c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9"/>
      <c r="DB26" s="249"/>
      <c r="DC26" s="249"/>
      <c r="DD26" s="249"/>
      <c r="DE26" s="249"/>
      <c r="DF26" s="249"/>
      <c r="DG26" s="248"/>
      <c r="DH26" s="248"/>
      <c r="DI26" s="249"/>
      <c r="DJ26" s="249"/>
      <c r="DK26" s="249"/>
      <c r="DL26" s="249"/>
      <c r="DM26" s="249"/>
      <c r="DN26" s="249"/>
      <c r="DO26" s="248"/>
      <c r="DP26" s="248"/>
      <c r="DQ26" s="249"/>
      <c r="DR26" s="249"/>
      <c r="DS26" s="249"/>
      <c r="DT26" s="249"/>
      <c r="DU26" s="249"/>
      <c r="DV26" s="249"/>
      <c r="DW26" s="248"/>
      <c r="DX26" s="248"/>
      <c r="DY26" s="249"/>
      <c r="DZ26" s="249"/>
      <c r="EA26" s="236"/>
      <c r="EB26" s="249"/>
      <c r="EC26" s="249"/>
      <c r="ED26" s="249"/>
      <c r="EE26" s="248">
        <f>SUM(DY26:ED26)</f>
        <v>0</v>
      </c>
      <c r="EF26" s="248"/>
      <c r="EG26" s="236"/>
      <c r="EH26" s="248"/>
      <c r="EI26" s="248"/>
      <c r="EJ26" s="248"/>
      <c r="EK26" s="248"/>
      <c r="EL26" s="248"/>
      <c r="EM26" s="248"/>
      <c r="EN26" s="248"/>
      <c r="EO26" s="236"/>
      <c r="EP26" s="236"/>
      <c r="EQ26" s="236"/>
      <c r="ER26" s="236"/>
      <c r="ES26" s="236"/>
      <c r="ET26" s="236"/>
      <c r="EU26" s="248"/>
      <c r="EV26" s="248"/>
      <c r="EW26" s="236"/>
      <c r="EX26" s="236"/>
      <c r="EY26" s="236"/>
      <c r="EZ26" s="236"/>
      <c r="FA26" s="236"/>
      <c r="FB26" s="236"/>
      <c r="FC26" s="248"/>
      <c r="FD26" s="248"/>
      <c r="FE26" s="248"/>
      <c r="FF26" s="248"/>
      <c r="FG26" s="248"/>
      <c r="FH26" s="248"/>
      <c r="FI26" s="248"/>
      <c r="FJ26" s="236"/>
      <c r="FK26" s="236"/>
      <c r="FL26" s="236"/>
      <c r="FM26" s="236"/>
    </row>
    <row r="27" spans="1:169" ht="27.95" customHeight="1" thickTop="1" x14ac:dyDescent="0.2">
      <c r="A27" s="877" t="s">
        <v>291</v>
      </c>
      <c r="B27" s="878"/>
      <c r="C27" s="868" t="str">
        <f>IF($AB22&lt;6,"",IF($X23=3,C9,IF($Y23=3,C10,IF($Z23=3,C11,IF($AA23=3,C12)))))</f>
        <v/>
      </c>
      <c r="D27" s="869"/>
      <c r="E27" s="804" t="str">
        <f>IF(C27="","",VLOOKUP(C27,liste!$A$9:$G$145,2,FALSE))</f>
        <v/>
      </c>
      <c r="F27" s="805"/>
      <c r="G27" s="805"/>
      <c r="H27" s="805"/>
      <c r="I27" s="806"/>
      <c r="J27" s="585" t="str">
        <f>IF(C27="","",VLOOKUP(C27,liste!$A$9:$G$145,4,FALSE))</f>
        <v/>
      </c>
      <c r="K27" s="804" t="str">
        <f>IF(C27="","",VLOOKUP(C27,liste!$A$9:$G$145,3,FALSE))</f>
        <v/>
      </c>
      <c r="L27" s="805"/>
      <c r="M27" s="805"/>
      <c r="N27" s="806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6"/>
      <c r="AU27" s="252"/>
      <c r="AV27" s="236"/>
      <c r="AW27" s="236"/>
      <c r="AX27" s="236"/>
      <c r="AY27" s="323"/>
      <c r="AZ27" s="323"/>
      <c r="BA27" s="323"/>
      <c r="BB27" s="323"/>
      <c r="BC27" s="323"/>
      <c r="BD27" s="252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8"/>
      <c r="BS27" s="248"/>
      <c r="BT27" s="248"/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9"/>
      <c r="DB27" s="249"/>
      <c r="DC27" s="249"/>
      <c r="DD27" s="249"/>
      <c r="DE27" s="249"/>
      <c r="DF27" s="249"/>
      <c r="DG27" s="248"/>
      <c r="DH27" s="248"/>
      <c r="DI27" s="249"/>
      <c r="DJ27" s="249"/>
      <c r="DK27" s="249"/>
      <c r="DL27" s="249"/>
      <c r="DM27" s="249"/>
      <c r="DN27" s="249"/>
      <c r="DO27" s="248"/>
      <c r="DP27" s="248"/>
      <c r="DQ27" s="249"/>
      <c r="DR27" s="249"/>
      <c r="DS27" s="249"/>
      <c r="DT27" s="249"/>
      <c r="DU27" s="249"/>
      <c r="DV27" s="249"/>
      <c r="DW27" s="248"/>
      <c r="DX27" s="248"/>
      <c r="DY27" s="249"/>
      <c r="DZ27" s="249"/>
      <c r="EA27" s="249"/>
      <c r="EB27" s="249"/>
      <c r="EC27" s="249"/>
      <c r="ED27" s="249"/>
      <c r="EE27" s="248">
        <f>SUM(DY27:ED27)</f>
        <v>0</v>
      </c>
      <c r="EF27" s="248"/>
      <c r="EG27" s="241"/>
      <c r="EH27" s="241"/>
      <c r="EI27" s="241"/>
      <c r="EJ27" s="241"/>
      <c r="EK27" s="241"/>
      <c r="EL27" s="241"/>
      <c r="EM27" s="248"/>
      <c r="EN27" s="248"/>
      <c r="EO27" s="248"/>
      <c r="EP27" s="248"/>
      <c r="EQ27" s="248"/>
      <c r="ER27" s="248"/>
      <c r="ES27" s="248"/>
      <c r="ET27" s="248"/>
      <c r="EU27" s="248"/>
      <c r="EV27" s="248"/>
      <c r="EW27" s="248"/>
      <c r="EX27" s="248"/>
      <c r="EY27" s="248"/>
      <c r="EZ27" s="248"/>
      <c r="FA27" s="248"/>
      <c r="FB27" s="248"/>
      <c r="FC27" s="248"/>
      <c r="FD27" s="248"/>
      <c r="FE27" s="248"/>
      <c r="FF27" s="248"/>
      <c r="FG27" s="248"/>
      <c r="FH27" s="248"/>
      <c r="FI27" s="248"/>
      <c r="FJ27" s="236"/>
      <c r="FK27" s="236"/>
      <c r="FL27" s="236"/>
      <c r="FM27" s="236"/>
    </row>
    <row r="28" spans="1:169" ht="21.95" customHeight="1" thickBot="1" x14ac:dyDescent="0.25">
      <c r="A28" s="888" t="s">
        <v>292</v>
      </c>
      <c r="B28" s="889"/>
      <c r="C28" s="860" t="str">
        <f>IF($AB22&lt;6,"",IF($X23=4,C9,IF($Y23=4,C10,IF($Z23=4,C11,IF(AA23=4,C12)))))</f>
        <v/>
      </c>
      <c r="D28" s="861"/>
      <c r="E28" s="814" t="str">
        <f>IF(C28="","",VLOOKUP(C28,liste!$A$9:$G$145,2,FALSE))</f>
        <v/>
      </c>
      <c r="F28" s="815"/>
      <c r="G28" s="815"/>
      <c r="H28" s="815"/>
      <c r="I28" s="816"/>
      <c r="J28" s="586" t="str">
        <f>IF(C28="","",VLOOKUP(C28,liste!$A$9:$G$145,4,FALSE))</f>
        <v/>
      </c>
      <c r="K28" s="814" t="str">
        <f>IF(C28="","",VLOOKUP(C28,liste!$A$9:$G$145,3,FALSE))</f>
        <v/>
      </c>
      <c r="L28" s="815"/>
      <c r="M28" s="815"/>
      <c r="N28" s="81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U28" s="252"/>
      <c r="AV28" s="236"/>
      <c r="AW28" s="236"/>
      <c r="AX28" s="236"/>
      <c r="AY28" s="323"/>
      <c r="AZ28" s="323"/>
      <c r="BA28" s="323"/>
      <c r="BB28" s="323"/>
      <c r="BC28" s="323"/>
      <c r="BD28" s="252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1"/>
      <c r="CG28" s="241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 t="s">
        <v>5</v>
      </c>
      <c r="CT28" s="248" t="s">
        <v>5</v>
      </c>
      <c r="CU28" s="248"/>
      <c r="CV28" s="248"/>
      <c r="CW28" s="248" t="s">
        <v>5</v>
      </c>
      <c r="CX28" s="248" t="s">
        <v>5</v>
      </c>
      <c r="CY28" s="248"/>
      <c r="CZ28" s="248"/>
      <c r="DA28" s="249" t="s">
        <v>5</v>
      </c>
      <c r="DB28" s="249" t="s">
        <v>5</v>
      </c>
      <c r="DC28" s="249"/>
      <c r="DD28" s="249"/>
      <c r="DE28" s="249" t="s">
        <v>5</v>
      </c>
      <c r="DF28" s="249" t="s">
        <v>5</v>
      </c>
      <c r="DG28" s="248"/>
      <c r="DH28" s="248"/>
      <c r="DI28" s="249" t="s">
        <v>5</v>
      </c>
      <c r="DJ28" s="249" t="s">
        <v>5</v>
      </c>
      <c r="DK28" s="249"/>
      <c r="DL28" s="249"/>
      <c r="DM28" s="249" t="s">
        <v>5</v>
      </c>
      <c r="DN28" s="249" t="s">
        <v>5</v>
      </c>
      <c r="DO28" s="248"/>
      <c r="DP28" s="248"/>
      <c r="DQ28" s="249" t="s">
        <v>5</v>
      </c>
      <c r="DR28" s="249" t="s">
        <v>5</v>
      </c>
      <c r="DS28" s="249"/>
      <c r="DT28" s="249"/>
      <c r="DU28" s="249" t="s">
        <v>5</v>
      </c>
      <c r="DV28" s="249" t="s">
        <v>5</v>
      </c>
      <c r="DW28" s="248"/>
      <c r="DX28" s="248"/>
      <c r="DY28" s="249" t="s">
        <v>5</v>
      </c>
      <c r="DZ28" s="249" t="s">
        <v>71</v>
      </c>
      <c r="EA28" s="249" t="s">
        <v>5</v>
      </c>
      <c r="EB28" s="249"/>
      <c r="EC28" s="249"/>
      <c r="ED28" s="249" t="s">
        <v>5</v>
      </c>
      <c r="EE28" s="248">
        <f>SUM(DY28:ED28)</f>
        <v>0</v>
      </c>
      <c r="EF28" s="248"/>
      <c r="EG28" s="248"/>
      <c r="EH28" s="248"/>
      <c r="EI28" s="248"/>
      <c r="EJ28" s="248"/>
      <c r="EK28" s="248"/>
      <c r="EL28" s="248"/>
      <c r="EM28" s="248"/>
      <c r="EN28" s="248"/>
      <c r="EO28" s="248" t="s">
        <v>5</v>
      </c>
      <c r="EP28" s="248" t="s">
        <v>71</v>
      </c>
      <c r="EQ28" s="248" t="s">
        <v>5</v>
      </c>
      <c r="ER28" s="248"/>
      <c r="ES28" s="248"/>
      <c r="ET28" s="248" t="s">
        <v>5</v>
      </c>
      <c r="EU28" s="248"/>
      <c r="EV28" s="248"/>
      <c r="EW28" s="248" t="s">
        <v>5</v>
      </c>
      <c r="EX28" s="248" t="s">
        <v>5</v>
      </c>
      <c r="EY28" s="248"/>
      <c r="EZ28" s="248"/>
      <c r="FA28" s="248" t="s">
        <v>5</v>
      </c>
      <c r="FB28" s="248" t="s">
        <v>5</v>
      </c>
      <c r="FC28" s="248"/>
      <c r="FD28" s="248"/>
      <c r="FE28" s="248"/>
      <c r="FF28" s="248"/>
      <c r="FG28" s="248"/>
      <c r="FH28" s="248"/>
      <c r="FI28" s="248"/>
      <c r="FJ28" s="236"/>
      <c r="FK28" s="236"/>
      <c r="FL28" s="236"/>
      <c r="FM28" s="236"/>
    </row>
    <row r="29" spans="1:169" ht="30" customHeight="1" x14ac:dyDescent="0.2">
      <c r="A29" s="587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U29" s="252"/>
      <c r="AV29" s="236"/>
      <c r="AW29" s="236"/>
      <c r="AX29" s="236"/>
      <c r="AY29" s="323"/>
      <c r="AZ29" s="323"/>
      <c r="BA29" s="323"/>
      <c r="BB29" s="323"/>
      <c r="BC29" s="323"/>
      <c r="BD29" s="252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8"/>
      <c r="BS29" s="241"/>
      <c r="BT29" s="241"/>
      <c r="BU29" s="241"/>
      <c r="BV29" s="241"/>
      <c r="BW29" s="241"/>
      <c r="BX29" s="241"/>
      <c r="BY29" s="241"/>
      <c r="BZ29" s="241"/>
      <c r="CA29" s="241"/>
      <c r="CB29" s="241"/>
      <c r="CC29" s="241"/>
      <c r="CD29" s="241"/>
      <c r="CE29" s="241"/>
      <c r="CF29" s="241"/>
      <c r="CG29" s="241"/>
      <c r="CH29" s="241"/>
      <c r="CI29" s="241"/>
      <c r="CJ29" s="241"/>
      <c r="CK29" s="241"/>
      <c r="CL29" s="241"/>
      <c r="CM29" s="241"/>
      <c r="CN29" s="241"/>
      <c r="CO29" s="241"/>
      <c r="CP29" s="241"/>
      <c r="CQ29" s="241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1"/>
      <c r="DH29" s="248"/>
      <c r="DI29" s="249"/>
      <c r="DJ29" s="249"/>
      <c r="DK29" s="249"/>
      <c r="DL29" s="249"/>
      <c r="DM29" s="249"/>
      <c r="DN29" s="249"/>
      <c r="DO29" s="248"/>
      <c r="DP29" s="248"/>
      <c r="DQ29" s="249"/>
      <c r="DR29" s="249"/>
      <c r="DS29" s="249"/>
      <c r="DT29" s="249"/>
      <c r="DU29" s="249"/>
      <c r="DV29" s="249"/>
      <c r="DW29" s="241"/>
      <c r="DX29" s="248"/>
      <c r="DY29" s="248"/>
      <c r="DZ29" s="248"/>
      <c r="EA29" s="248"/>
      <c r="EB29" s="248"/>
      <c r="EC29" s="248"/>
      <c r="ED29" s="248"/>
      <c r="EE29" s="248">
        <f>SUM(DY29:ED29)</f>
        <v>0</v>
      </c>
      <c r="EF29" s="248"/>
      <c r="EG29" s="236"/>
      <c r="EH29" s="236"/>
      <c r="EI29" s="236"/>
      <c r="EJ29" s="236"/>
      <c r="EK29" s="236"/>
      <c r="EL29" s="236"/>
      <c r="EM29" s="241"/>
      <c r="EN29" s="248"/>
      <c r="EO29" s="248"/>
      <c r="EP29" s="248"/>
      <c r="EQ29" s="248"/>
      <c r="ER29" s="248"/>
      <c r="ES29" s="248"/>
      <c r="ET29" s="248"/>
      <c r="EU29" s="241"/>
      <c r="EV29" s="248"/>
      <c r="EW29" s="248"/>
      <c r="EX29" s="248"/>
      <c r="EY29" s="248"/>
      <c r="EZ29" s="248"/>
      <c r="FA29" s="248"/>
      <c r="FB29" s="248"/>
      <c r="FC29" s="241"/>
      <c r="FD29" s="248"/>
      <c r="FE29" s="248"/>
      <c r="FF29" s="248"/>
      <c r="FG29" s="248"/>
      <c r="FH29" s="248"/>
      <c r="FI29" s="248"/>
      <c r="FJ29" s="236"/>
      <c r="FK29" s="236"/>
      <c r="FL29" s="236"/>
      <c r="FM29" s="236"/>
    </row>
    <row r="30" spans="1:169" ht="30" customHeight="1" x14ac:dyDescent="0.2">
      <c r="A30" s="893" t="str">
        <f>$A$1</f>
        <v>Circuit décathlon</v>
      </c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3"/>
      <c r="W30" s="893"/>
      <c r="X30" s="893"/>
      <c r="Y30" s="893"/>
      <c r="Z30" s="893"/>
      <c r="AA30" s="893"/>
      <c r="AC30" s="236"/>
      <c r="AD30" s="599"/>
      <c r="AE30" s="599"/>
      <c r="AF30" s="599"/>
      <c r="AG30" s="599"/>
      <c r="AH30" s="599"/>
      <c r="AI30" s="599"/>
      <c r="AJ30" s="599"/>
      <c r="AK30" s="599"/>
      <c r="AL30" s="599"/>
      <c r="AM30" s="599"/>
      <c r="AN30" s="599"/>
      <c r="AO30" s="599"/>
      <c r="AP30" s="599"/>
      <c r="AQ30" s="599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</row>
    <row r="31" spans="1:169" ht="21.95" customHeight="1" x14ac:dyDescent="0.2">
      <c r="A31" s="893"/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93"/>
      <c r="W31" s="893"/>
      <c r="X31" s="893"/>
      <c r="Y31" s="893"/>
      <c r="Z31" s="893"/>
      <c r="AA31" s="893"/>
      <c r="AC31" s="236"/>
      <c r="AD31" s="599"/>
      <c r="AE31" s="599"/>
      <c r="AF31" s="599"/>
      <c r="AG31" s="599"/>
      <c r="AH31" s="599"/>
      <c r="AI31" s="599"/>
      <c r="AJ31" s="599"/>
      <c r="AK31" s="599"/>
      <c r="AL31" s="599"/>
      <c r="AM31" s="599"/>
      <c r="AN31" s="599"/>
      <c r="AO31" s="599"/>
      <c r="AP31" s="599"/>
      <c r="AQ31" s="599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</row>
    <row r="32" spans="1:169" ht="21.95" customHeight="1" x14ac:dyDescent="0.2">
      <c r="A32" s="502"/>
      <c r="B32" s="503"/>
      <c r="C32" s="504"/>
      <c r="D32" s="504"/>
      <c r="E32" s="504"/>
      <c r="F32" s="504"/>
      <c r="G32" s="503"/>
      <c r="H32" s="505"/>
      <c r="I32" s="506"/>
      <c r="J32" s="506"/>
      <c r="K32" s="506"/>
      <c r="L32" s="507"/>
      <c r="M32" s="506"/>
      <c r="N32" s="506"/>
      <c r="O32" s="508"/>
      <c r="P32" s="508"/>
      <c r="Q32" s="508"/>
      <c r="R32" s="508"/>
      <c r="S32" s="508"/>
      <c r="T32" s="504"/>
      <c r="U32" s="505"/>
      <c r="V32" s="505"/>
      <c r="W32" s="504"/>
      <c r="X32" s="504"/>
      <c r="Y32" s="504"/>
      <c r="Z32" s="504"/>
      <c r="AA32" s="502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</row>
    <row r="33" spans="1:169" ht="21.95" customHeight="1" x14ac:dyDescent="0.2">
      <c r="A33" s="503"/>
      <c r="B33" s="503"/>
      <c r="C33" s="504"/>
      <c r="D33" s="503"/>
      <c r="E33" s="509" t="s">
        <v>6</v>
      </c>
      <c r="F33" s="894" t="str">
        <f>$F$4</f>
        <v>Champagné</v>
      </c>
      <c r="G33" s="894"/>
      <c r="H33" s="894"/>
      <c r="I33" s="894"/>
      <c r="J33" s="894"/>
      <c r="K33" s="506"/>
      <c r="L33" s="506"/>
      <c r="M33" s="506"/>
      <c r="N33" s="508"/>
      <c r="O33" s="508"/>
      <c r="P33" s="508"/>
      <c r="Q33" s="508"/>
      <c r="R33" s="508"/>
      <c r="S33" s="509" t="s">
        <v>7</v>
      </c>
      <c r="T33" s="846">
        <f>$T$4</f>
        <v>43421</v>
      </c>
      <c r="U33" s="846"/>
      <c r="V33" s="846"/>
      <c r="W33" s="846"/>
      <c r="X33" s="846"/>
      <c r="Y33" s="846"/>
      <c r="Z33" s="510"/>
      <c r="AA33" s="50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236"/>
      <c r="CB33" s="236"/>
      <c r="CC33" s="236"/>
      <c r="CD33" s="236"/>
      <c r="CE33" s="236"/>
      <c r="CF33" s="236"/>
      <c r="CG33" s="236"/>
      <c r="CH33" s="236"/>
      <c r="CI33" s="236"/>
      <c r="CJ33" s="236"/>
      <c r="CK33" s="236"/>
      <c r="CL33" s="236"/>
      <c r="CM33" s="236"/>
      <c r="CN33" s="236"/>
      <c r="CO33" s="236"/>
      <c r="CP33" s="236"/>
      <c r="CQ33" s="236"/>
      <c r="CR33" s="236"/>
      <c r="CS33" s="236"/>
      <c r="CT33" s="236"/>
      <c r="CU33" s="236"/>
      <c r="CV33" s="236"/>
      <c r="CW33" s="236"/>
      <c r="CX33" s="236"/>
      <c r="CY33" s="236"/>
      <c r="CZ33" s="236"/>
      <c r="DA33" s="236"/>
      <c r="DB33" s="236"/>
      <c r="DC33" s="236"/>
      <c r="DD33" s="236"/>
      <c r="DE33" s="236"/>
      <c r="DF33" s="236"/>
      <c r="DG33" s="236"/>
      <c r="DH33" s="236"/>
      <c r="DI33" s="236"/>
      <c r="DJ33" s="236"/>
      <c r="DK33" s="236"/>
      <c r="DL33" s="236"/>
      <c r="DM33" s="236"/>
      <c r="DN33" s="236"/>
      <c r="DO33" s="236"/>
      <c r="DP33" s="236"/>
      <c r="DQ33" s="236"/>
      <c r="DR33" s="236"/>
      <c r="DS33" s="236"/>
      <c r="DT33" s="236"/>
      <c r="DU33" s="236"/>
      <c r="DV33" s="236"/>
      <c r="DW33" s="236"/>
      <c r="DX33" s="236"/>
      <c r="DY33" s="236"/>
      <c r="DZ33" s="236"/>
      <c r="EA33" s="236"/>
      <c r="EB33" s="236"/>
      <c r="EC33" s="236"/>
      <c r="ED33" s="236"/>
      <c r="EE33" s="236"/>
      <c r="EF33" s="236"/>
      <c r="EG33" s="236"/>
      <c r="EH33" s="236"/>
      <c r="EI33" s="236"/>
      <c r="EJ33" s="236"/>
      <c r="EK33" s="236"/>
      <c r="EL33" s="236"/>
      <c r="EM33" s="236"/>
      <c r="EN33" s="236"/>
      <c r="EO33" s="236"/>
      <c r="EP33" s="236"/>
      <c r="EQ33" s="236"/>
      <c r="ER33" s="236"/>
      <c r="ES33" s="236"/>
      <c r="ET33" s="236"/>
      <c r="EU33" s="236"/>
      <c r="EV33" s="236"/>
      <c r="EW33" s="236"/>
      <c r="EX33" s="236"/>
      <c r="EY33" s="236"/>
      <c r="EZ33" s="236"/>
      <c r="FA33" s="236"/>
      <c r="FB33" s="236"/>
      <c r="FC33" s="236"/>
      <c r="FD33" s="236"/>
      <c r="FE33" s="236"/>
      <c r="FF33" s="236"/>
      <c r="FG33" s="236"/>
      <c r="FH33" s="236"/>
      <c r="FI33" s="236"/>
      <c r="FJ33" s="236"/>
      <c r="FK33" s="236"/>
      <c r="FL33" s="236"/>
      <c r="FM33" s="236"/>
    </row>
    <row r="34" spans="1:169" ht="21.95" customHeight="1" x14ac:dyDescent="0.2">
      <c r="A34" s="503"/>
      <c r="B34" s="503"/>
      <c r="C34" s="503"/>
      <c r="D34" s="503"/>
      <c r="E34" s="503"/>
      <c r="F34" s="503"/>
      <c r="G34" s="506"/>
      <c r="H34" s="506"/>
      <c r="I34" s="506"/>
      <c r="J34" s="506"/>
      <c r="K34" s="506"/>
      <c r="L34" s="506"/>
      <c r="M34" s="506"/>
      <c r="N34" s="508"/>
      <c r="O34" s="508"/>
      <c r="P34" s="508"/>
      <c r="Q34" s="508"/>
      <c r="R34" s="508"/>
      <c r="S34" s="508"/>
      <c r="T34" s="508"/>
      <c r="U34" s="508"/>
      <c r="V34" s="506"/>
      <c r="W34" s="504"/>
      <c r="X34" s="504"/>
      <c r="Y34" s="504"/>
      <c r="Z34" s="506"/>
      <c r="AA34" s="50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6"/>
      <c r="BX34" s="236"/>
      <c r="BY34" s="236"/>
      <c r="BZ34" s="236"/>
      <c r="CA34" s="236"/>
      <c r="CB34" s="236"/>
      <c r="CC34" s="236"/>
      <c r="CD34" s="236"/>
      <c r="CE34" s="236"/>
      <c r="CF34" s="236"/>
      <c r="CG34" s="236"/>
      <c r="CH34" s="236"/>
      <c r="CI34" s="236"/>
      <c r="CJ34" s="236"/>
      <c r="CK34" s="236"/>
      <c r="CL34" s="236"/>
      <c r="CM34" s="236"/>
      <c r="CN34" s="236"/>
      <c r="CO34" s="236"/>
      <c r="CP34" s="236"/>
      <c r="CQ34" s="236"/>
      <c r="CR34" s="236"/>
      <c r="CS34" s="236"/>
      <c r="CT34" s="236"/>
      <c r="CU34" s="236"/>
      <c r="CV34" s="236"/>
      <c r="CW34" s="236"/>
      <c r="CX34" s="236"/>
      <c r="CY34" s="236"/>
      <c r="CZ34" s="236"/>
      <c r="DA34" s="236"/>
      <c r="DB34" s="236"/>
      <c r="DC34" s="236"/>
      <c r="DD34" s="236"/>
      <c r="DE34" s="236"/>
      <c r="DF34" s="236"/>
      <c r="DG34" s="236"/>
      <c r="DH34" s="236"/>
      <c r="DI34" s="236"/>
      <c r="DJ34" s="236"/>
      <c r="DK34" s="236"/>
      <c r="DL34" s="236"/>
      <c r="DM34" s="236"/>
      <c r="DN34" s="236"/>
      <c r="DO34" s="236"/>
      <c r="DP34" s="236"/>
      <c r="DQ34" s="236"/>
      <c r="DR34" s="236"/>
      <c r="DS34" s="236"/>
      <c r="DT34" s="236"/>
      <c r="DU34" s="236"/>
      <c r="DV34" s="236"/>
      <c r="DW34" s="236"/>
      <c r="DX34" s="236"/>
      <c r="DY34" s="236"/>
      <c r="DZ34" s="236"/>
      <c r="EA34" s="236"/>
      <c r="EB34" s="236"/>
      <c r="EC34" s="236"/>
      <c r="ED34" s="236"/>
      <c r="EE34" s="236"/>
      <c r="EF34" s="236"/>
      <c r="EG34" s="236"/>
      <c r="EH34" s="236"/>
      <c r="EI34" s="236"/>
      <c r="EJ34" s="236"/>
      <c r="EK34" s="236"/>
      <c r="EL34" s="236"/>
      <c r="EM34" s="236"/>
      <c r="EN34" s="236"/>
      <c r="EO34" s="236"/>
      <c r="EP34" s="236"/>
      <c r="EQ34" s="236"/>
      <c r="ER34" s="236"/>
      <c r="ES34" s="236"/>
      <c r="ET34" s="236"/>
      <c r="EU34" s="236"/>
      <c r="EV34" s="236"/>
      <c r="EW34" s="236"/>
      <c r="EX34" s="236"/>
      <c r="EY34" s="236"/>
      <c r="EZ34" s="236"/>
      <c r="FA34" s="236"/>
      <c r="FB34" s="236"/>
      <c r="FC34" s="236"/>
      <c r="FD34" s="236"/>
      <c r="FE34" s="236"/>
      <c r="FF34" s="236"/>
      <c r="FG34" s="236"/>
      <c r="FH34" s="236"/>
      <c r="FI34" s="236"/>
      <c r="FJ34" s="236"/>
      <c r="FK34" s="236"/>
      <c r="FL34" s="236"/>
      <c r="FM34" s="236"/>
    </row>
    <row r="35" spans="1:169" ht="21.95" customHeight="1" x14ac:dyDescent="0.2">
      <c r="A35" s="502"/>
      <c r="B35" s="503"/>
      <c r="C35" s="503"/>
      <c r="D35" s="503"/>
      <c r="E35" s="509" t="s">
        <v>11</v>
      </c>
      <c r="F35" s="885" t="str">
        <f>F6</f>
        <v>Minimes</v>
      </c>
      <c r="G35" s="885"/>
      <c r="H35" s="885"/>
      <c r="I35" s="885"/>
      <c r="J35" s="885"/>
      <c r="K35" s="885"/>
      <c r="L35" s="511" t="s">
        <v>2</v>
      </c>
      <c r="M35" s="512" t="s">
        <v>75</v>
      </c>
      <c r="N35" s="504"/>
      <c r="O35" s="513" t="s">
        <v>287</v>
      </c>
      <c r="P35" s="503"/>
      <c r="Q35" s="512">
        <f>Rens!C14</f>
        <v>0</v>
      </c>
      <c r="R35" s="503"/>
      <c r="S35" s="503"/>
      <c r="T35" s="508"/>
      <c r="U35" s="513"/>
      <c r="V35" s="514" t="s">
        <v>171</v>
      </c>
      <c r="W35" s="504"/>
      <c r="X35" s="895" t="str">
        <f>Rens!$E$1</f>
        <v>2018/2019</v>
      </c>
      <c r="Y35" s="895"/>
      <c r="Z35" s="895"/>
      <c r="AA35" s="511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</row>
    <row r="36" spans="1:169" ht="21.95" customHeight="1" thickBot="1" x14ac:dyDescent="0.25">
      <c r="A36" s="503"/>
      <c r="B36" s="503"/>
      <c r="C36" s="503"/>
      <c r="D36" s="503"/>
      <c r="E36" s="503"/>
      <c r="F36" s="503"/>
      <c r="G36" s="503"/>
      <c r="H36" s="506"/>
      <c r="I36" s="506"/>
      <c r="J36" s="506"/>
      <c r="K36" s="506"/>
      <c r="L36" s="506"/>
      <c r="M36" s="506"/>
      <c r="N36" s="506"/>
      <c r="O36" s="508"/>
      <c r="P36" s="508"/>
      <c r="Q36" s="508"/>
      <c r="R36" s="508"/>
      <c r="S36" s="508"/>
      <c r="T36" s="508"/>
      <c r="U36" s="508"/>
      <c r="V36" s="508"/>
      <c r="W36" s="508"/>
      <c r="X36" s="506"/>
      <c r="Y36" s="506"/>
      <c r="Z36" s="506"/>
      <c r="AA36" s="506"/>
      <c r="AC36" s="236"/>
      <c r="AD36" s="236"/>
      <c r="AE36" s="237" t="s">
        <v>58</v>
      </c>
      <c r="AF36" s="238"/>
      <c r="AG36" s="238"/>
      <c r="AH36" s="238"/>
      <c r="AI36" s="239" t="s">
        <v>22</v>
      </c>
      <c r="AJ36" s="237" t="s">
        <v>5</v>
      </c>
      <c r="AK36" s="238"/>
      <c r="AL36" s="237" t="s">
        <v>23</v>
      </c>
      <c r="AM36" s="238"/>
      <c r="AN36" s="238"/>
      <c r="AO36" s="238"/>
      <c r="AP36" s="238"/>
      <c r="AQ36" s="238" t="str">
        <f>IF(AI36&lt;&gt;" ",AI36," ")</f>
        <v>IG1</v>
      </c>
      <c r="AR36" s="238"/>
      <c r="AS36" s="240"/>
      <c r="AT36" s="241"/>
      <c r="AU36" s="241"/>
      <c r="AV36" s="241"/>
      <c r="AW36" s="241"/>
      <c r="AX36" s="241"/>
      <c r="AY36" s="241" t="s">
        <v>5</v>
      </c>
      <c r="AZ36" s="241"/>
      <c r="BA36" s="241" t="s">
        <v>24</v>
      </c>
      <c r="BB36" s="241"/>
      <c r="BC36" s="241"/>
      <c r="BD36" s="241"/>
      <c r="BE36" s="241"/>
      <c r="BF36" s="241"/>
      <c r="BG36" s="241"/>
      <c r="BH36" s="242" t="s">
        <v>10</v>
      </c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36"/>
      <c r="FK36" s="236"/>
      <c r="FL36" s="236"/>
      <c r="FM36" s="236"/>
    </row>
    <row r="37" spans="1:169" ht="24.95" customHeight="1" thickBot="1" x14ac:dyDescent="0.25">
      <c r="A37" s="511"/>
      <c r="B37" s="511"/>
      <c r="C37" s="836" t="s">
        <v>8</v>
      </c>
      <c r="D37" s="838"/>
      <c r="E37" s="837"/>
      <c r="F37" s="836" t="s">
        <v>16</v>
      </c>
      <c r="G37" s="838"/>
      <c r="H37" s="837"/>
      <c r="I37" s="836" t="s">
        <v>20</v>
      </c>
      <c r="J37" s="838"/>
      <c r="K37" s="838"/>
      <c r="L37" s="838"/>
      <c r="M37" s="838"/>
      <c r="N37" s="837"/>
      <c r="O37" s="836" t="s">
        <v>4</v>
      </c>
      <c r="P37" s="837"/>
      <c r="Q37" s="836" t="s">
        <v>12</v>
      </c>
      <c r="R37" s="838"/>
      <c r="S37" s="838"/>
      <c r="T37" s="838"/>
      <c r="U37" s="838"/>
      <c r="V37" s="838"/>
      <c r="W37" s="838"/>
      <c r="X37" s="838"/>
      <c r="Y37" s="837"/>
      <c r="Z37" s="836" t="s">
        <v>286</v>
      </c>
      <c r="AA37" s="837"/>
      <c r="AC37" s="236"/>
      <c r="AD37" s="236"/>
      <c r="AE37" s="237" t="s">
        <v>5</v>
      </c>
      <c r="AF37" s="237"/>
      <c r="AG37" s="239" t="s">
        <v>14</v>
      </c>
      <c r="AH37" s="237"/>
      <c r="AI37" s="237"/>
      <c r="AJ37" s="237"/>
      <c r="AK37" s="237"/>
      <c r="AL37" s="237" t="s">
        <v>5</v>
      </c>
      <c r="AM37" s="237"/>
      <c r="AN37" s="238"/>
      <c r="AO37" s="238"/>
      <c r="AP37" s="238"/>
      <c r="AQ37" s="238"/>
      <c r="AR37" s="238"/>
      <c r="AS37" s="240"/>
      <c r="AT37" s="241"/>
      <c r="AU37" s="241"/>
      <c r="AV37" s="241"/>
      <c r="AW37" s="241"/>
      <c r="AX37" s="241"/>
      <c r="AY37" s="241" t="s">
        <v>10</v>
      </c>
      <c r="AZ37" s="241"/>
      <c r="BA37" s="241" t="s">
        <v>25</v>
      </c>
      <c r="BB37" s="242" t="s">
        <v>26</v>
      </c>
      <c r="BC37" s="242" t="s">
        <v>27</v>
      </c>
      <c r="BD37" s="242" t="s">
        <v>28</v>
      </c>
      <c r="BE37" s="242" t="s">
        <v>29</v>
      </c>
      <c r="BF37" s="241" t="s">
        <v>30</v>
      </c>
      <c r="BG37" s="241"/>
      <c r="BH37" s="242" t="s">
        <v>31</v>
      </c>
      <c r="BI37" s="241"/>
      <c r="BJ37" s="241"/>
      <c r="BK37" s="241" t="s">
        <v>32</v>
      </c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36"/>
      <c r="FK37" s="236"/>
      <c r="FL37" s="236"/>
      <c r="FM37" s="236"/>
    </row>
    <row r="38" spans="1:169" ht="27.95" customHeight="1" x14ac:dyDescent="0.2">
      <c r="A38" s="807">
        <v>1</v>
      </c>
      <c r="B38" s="890"/>
      <c r="C38" s="862">
        <f>liste!A16</f>
        <v>8</v>
      </c>
      <c r="D38" s="863"/>
      <c r="E38" s="864"/>
      <c r="F38" s="811">
        <f>IF(C38="","",VLOOKUP(C38,liste!$A$9:$G$145,7,FALSE))</f>
        <v>7223163</v>
      </c>
      <c r="G38" s="812" t="e">
        <f>IF(F38="","",VLOOKUP(F38,liste!$A$9:$G$145,7,FALSE))</f>
        <v>#N/A</v>
      </c>
      <c r="H38" s="813" t="e">
        <f>IF(G38="","",VLOOKUP(G38,liste!$A$9:$G$145,7,FALSE))</f>
        <v>#N/A</v>
      </c>
      <c r="I38" s="849" t="str">
        <f>IF(C38="","",VLOOKUP(C38,liste!$A$9:$G$145,2,FALSE))</f>
        <v>JUHEL Ethan</v>
      </c>
      <c r="J38" s="850"/>
      <c r="K38" s="850"/>
      <c r="L38" s="850"/>
      <c r="M38" s="850"/>
      <c r="N38" s="851"/>
      <c r="O38" s="883">
        <f>IF(C38="","",VLOOKUP(C38,liste!$A$9:$G$145,4,FALSE))</f>
        <v>5</v>
      </c>
      <c r="P38" s="884" t="str">
        <f>IF(J38="","",VLOOKUP(J38,liste!$A$9:$G$145,4,FALSE))</f>
        <v/>
      </c>
      <c r="Q38" s="857" t="str">
        <f>IF(C38="","",VLOOKUP(C38,liste!$A$9:$G$145,3,FALSE))</f>
        <v>COULAINES JS</v>
      </c>
      <c r="R38" s="858"/>
      <c r="S38" s="858"/>
      <c r="T38" s="858"/>
      <c r="U38" s="858"/>
      <c r="V38" s="858"/>
      <c r="W38" s="858"/>
      <c r="X38" s="858"/>
      <c r="Y38" s="859"/>
      <c r="Z38" s="857">
        <f>IF(C38="","",VLOOKUP(C38,liste!$A$9:$G$145,6,FALSE))</f>
        <v>500</v>
      </c>
      <c r="AA38" s="859" t="str">
        <f>IF(U38="","",VLOOKUP(U38,liste!$A$9:$G$145,4,FALSE))</f>
        <v/>
      </c>
      <c r="AB38" s="600" t="str">
        <f>"H"&amp;X52&amp;C38</f>
        <v>H8</v>
      </c>
      <c r="AC38" s="236"/>
      <c r="AD38" s="236"/>
      <c r="AE38" s="237" t="s">
        <v>33</v>
      </c>
      <c r="AF38" s="239">
        <v>1</v>
      </c>
      <c r="AG38" s="243">
        <f>C38</f>
        <v>8</v>
      </c>
      <c r="AH38" s="237" t="s">
        <v>5</v>
      </c>
      <c r="AI38" s="237" t="s">
        <v>5</v>
      </c>
      <c r="AJ38" s="237"/>
      <c r="AK38" s="237"/>
      <c r="AL38" s="237" t="s">
        <v>34</v>
      </c>
      <c r="AM38" s="237" t="e">
        <f>IF($BK$38=1,$AF$38,IF($BK$39=1,$AF$39,IF($BK$40=1,$AF$40,IF($BK$41=1,$AF$41,""))))</f>
        <v>#VALUE!</v>
      </c>
      <c r="AN38" s="238"/>
      <c r="AO38" s="244" t="e">
        <f>VLOOKUP(AM38,AF38:AG41,2)</f>
        <v>#VALUE!</v>
      </c>
      <c r="AP38" s="238"/>
      <c r="AQ38" s="238"/>
      <c r="AR38" s="238"/>
      <c r="AS38" s="240" t="s">
        <v>5</v>
      </c>
      <c r="AT38" s="241"/>
      <c r="AU38" s="241"/>
      <c r="AV38" s="245" t="e">
        <f>BH38</f>
        <v>#VALUE!</v>
      </c>
      <c r="AW38" s="241"/>
      <c r="AX38" s="241" t="s">
        <v>33</v>
      </c>
      <c r="AY38" s="241" t="e">
        <f>CF47</f>
        <v>#VALUE!</v>
      </c>
      <c r="AZ38" s="241"/>
      <c r="BA38" s="242" t="e">
        <f>IF(DE47&gt;0,CX47/DE47,IF(CX47&gt;0,CX47/1,0))</f>
        <v>#VALUE!</v>
      </c>
      <c r="BB38" s="242" t="e">
        <f>IF(DS47&gt;0,IF(BA38=0,0,DL47/DS47),IF(DL47&gt;0,DL47/1,0))</f>
        <v>#VALUE!</v>
      </c>
      <c r="BC38" s="241" t="e">
        <f>IF(BA38&lt;&gt;0,IF(EG47&gt;0,DZ47/EG47,0),0)</f>
        <v>#VALUE!</v>
      </c>
      <c r="BD38" s="241" t="s">
        <v>5</v>
      </c>
      <c r="BE38" s="242" t="e">
        <f>IF(EU47&gt;0,IF(BC38=0,0,EN47/EU47),IF(EN47&gt;0,EN47/1,0))</f>
        <v>#VALUE!</v>
      </c>
      <c r="BF38" s="242" t="e">
        <f>IF(BE38&lt;&gt;0,IF(FI47&gt;0,FB47/FI47,0),0)</f>
        <v>#VALUE!</v>
      </c>
      <c r="BG38" s="242" t="s">
        <v>33</v>
      </c>
      <c r="BH38" s="246" t="e">
        <f>AY38+BA38*0.01+BB38*0.0001+BC38*0.000001+BE38*0.00000001+BF38*0.0000000001</f>
        <v>#VALUE!</v>
      </c>
      <c r="BI38" s="241"/>
      <c r="BJ38" s="241"/>
      <c r="BK38" s="242" t="e">
        <f>RANK(BH38,BH38:BH44,)</f>
        <v>#VALUE!</v>
      </c>
      <c r="BL38" s="242"/>
      <c r="BM38" s="242"/>
      <c r="BN38" s="242"/>
      <c r="BO38" s="242" t="e">
        <f>IF(BH38=MIN(BH38:BH43),4,IF(BH38=MAX(BH38:BH43),1,0))</f>
        <v>#VALUE!</v>
      </c>
      <c r="BP38" s="242" t="e">
        <f>IF(BO38=0,BH38,0)</f>
        <v>#VALUE!</v>
      </c>
      <c r="BQ38" s="242" t="e">
        <f>IF(BP38&lt;&gt;0,IF(BP38=MAX(BP38:BP43),2,IF(BP38=MIN(BP38:BP43),3,0)),0)</f>
        <v>#VALUE!</v>
      </c>
      <c r="BR38" s="242" t="e">
        <f>IF(AND(BO38=0,BQ38=0),3,0)</f>
        <v>#VALUE!</v>
      </c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36"/>
      <c r="FK38" s="236"/>
      <c r="FL38" s="236"/>
      <c r="FM38" s="236"/>
    </row>
    <row r="39" spans="1:169" ht="27.95" customHeight="1" x14ac:dyDescent="0.2">
      <c r="A39" s="809">
        <v>2</v>
      </c>
      <c r="B39" s="879"/>
      <c r="C39" s="801">
        <v>11</v>
      </c>
      <c r="D39" s="802"/>
      <c r="E39" s="803"/>
      <c r="F39" s="804">
        <f>IF(C39="","",VLOOKUP(C39,liste!$A$9:$G$145,7,FALSE))</f>
        <v>7223082</v>
      </c>
      <c r="G39" s="805" t="e">
        <f>IF(F39="","",VLOOKUP(F39,liste!$A$9:$G$145,7,FALSE))</f>
        <v>#N/A</v>
      </c>
      <c r="H39" s="806" t="e">
        <f>IF(G39="","",VLOOKUP(G39,liste!$A$9:$G$145,7,FALSE))</f>
        <v>#N/A</v>
      </c>
      <c r="I39" s="852" t="str">
        <f>IF(C39="","",VLOOKUP(C39,liste!$A$9:$G$145,2,FALSE))</f>
        <v>LAIR Enzo</v>
      </c>
      <c r="J39" s="853"/>
      <c r="K39" s="853"/>
      <c r="L39" s="853"/>
      <c r="M39" s="853"/>
      <c r="N39" s="854"/>
      <c r="O39" s="855">
        <f>IF(C39="","",VLOOKUP(C39,liste!$A$9:$G$145,4,FALSE))</f>
        <v>5</v>
      </c>
      <c r="P39" s="856" t="str">
        <f>IF(J39="","",VLOOKUP(J39,liste!$A$9:$G$145,4,FALSE))</f>
        <v/>
      </c>
      <c r="Q39" s="829" t="str">
        <f>IF(C39="","",VLOOKUP(C39,liste!$A$9:$G$145,3,FALSE))</f>
        <v>FOULLETOURTE T.T.</v>
      </c>
      <c r="R39" s="830"/>
      <c r="S39" s="830"/>
      <c r="T39" s="830"/>
      <c r="U39" s="830"/>
      <c r="V39" s="830"/>
      <c r="W39" s="830"/>
      <c r="X39" s="830"/>
      <c r="Y39" s="831"/>
      <c r="Z39" s="829">
        <f>IF(C39="","",VLOOKUP(C39,liste!$A$9:$G$145,6,FALSE))</f>
        <v>500</v>
      </c>
      <c r="AA39" s="831" t="str">
        <f>IF(U39="","",VLOOKUP(U39,liste!$A$9:$G$145,4,FALSE))</f>
        <v/>
      </c>
      <c r="AB39" s="600" t="str">
        <f>"H"&amp;Y52&amp;C39</f>
        <v>H11</v>
      </c>
      <c r="AC39" s="236"/>
      <c r="AD39" s="236"/>
      <c r="AE39" s="237" t="s">
        <v>35</v>
      </c>
      <c r="AF39" s="239">
        <v>2</v>
      </c>
      <c r="AG39" s="243">
        <f>C39</f>
        <v>11</v>
      </c>
      <c r="AH39" s="237" t="s">
        <v>5</v>
      </c>
      <c r="AI39" s="237" t="s">
        <v>5</v>
      </c>
      <c r="AJ39" s="237"/>
      <c r="AK39" s="237"/>
      <c r="AL39" s="237" t="s">
        <v>59</v>
      </c>
      <c r="AM39" s="237" t="e">
        <f>IF($BK$38=2,$AF$38,IF($BK$39=2,$AF$39,IF($BK$40=2,$AF$40,IF($BK$41=2,$AF$41,""))))</f>
        <v>#VALUE!</v>
      </c>
      <c r="AN39" s="238"/>
      <c r="AO39" s="244" t="e">
        <f>VLOOKUP(AM39,AF38:AG41,2)</f>
        <v>#VALUE!</v>
      </c>
      <c r="AP39" s="238"/>
      <c r="AQ39" s="238"/>
      <c r="AR39" s="238"/>
      <c r="AS39" s="240" t="s">
        <v>5</v>
      </c>
      <c r="AT39" s="241"/>
      <c r="AU39" s="241"/>
      <c r="AV39" s="245" t="e">
        <f>BH39</f>
        <v>#VALUE!</v>
      </c>
      <c r="AW39" s="241"/>
      <c r="AX39" s="241" t="s">
        <v>35</v>
      </c>
      <c r="AY39" s="241" t="e">
        <f>CF48</f>
        <v>#VALUE!</v>
      </c>
      <c r="AZ39" s="241"/>
      <c r="BA39" s="242" t="e">
        <f>IF(DE48&gt;0,CX48/DE48,IF(CX48&gt;0,CX48/1,0))</f>
        <v>#VALUE!</v>
      </c>
      <c r="BB39" s="242" t="e">
        <f>IF(DS48&gt;0,IF(BA39=0,0,DL48/DS48),IF(DL48&gt;0,DL48/1,0))</f>
        <v>#VALUE!</v>
      </c>
      <c r="BC39" s="241" t="e">
        <f>IF(BA39&lt;&gt;0,IF(EG48&gt;0,DZ48/EG48,0),0)</f>
        <v>#VALUE!</v>
      </c>
      <c r="BD39" s="241" t="s">
        <v>5</v>
      </c>
      <c r="BE39" s="242" t="e">
        <f>IF(EU48&gt;0,IF(BC39=0,0,EN48/EU48),IF(EN48&gt;0,EN48/1,0))</f>
        <v>#VALUE!</v>
      </c>
      <c r="BF39" s="242" t="e">
        <f>IF(BE39&lt;&gt;0,IF(FI48&gt;0,FB48/FI48,0),0)</f>
        <v>#VALUE!</v>
      </c>
      <c r="BG39" s="242" t="s">
        <v>35</v>
      </c>
      <c r="BH39" s="246" t="e">
        <f>AY39+BA39*0.01+BB39*0.0001+BC39*0.000001+BE39*0.00000001+BF39*0.0000000001</f>
        <v>#VALUE!</v>
      </c>
      <c r="BI39" s="241"/>
      <c r="BJ39" s="241"/>
      <c r="BK39" s="242" t="e">
        <f>RANK(BH39,BH38:BH44,)</f>
        <v>#VALUE!</v>
      </c>
      <c r="BL39" s="242"/>
      <c r="BM39" s="242"/>
      <c r="BN39" s="242"/>
      <c r="BO39" s="242" t="e">
        <f>IF(BH39=MIN(BH38:BH43),4,IF(BH39=MAX(BH38:BH43),1,0))</f>
        <v>#VALUE!</v>
      </c>
      <c r="BP39" s="242" t="e">
        <f>IF(BO39=0,BH39,0)</f>
        <v>#VALUE!</v>
      </c>
      <c r="BQ39" s="242" t="e">
        <f>IF(BP39&lt;&gt;0,IF(BP39=MAX(BP38:BP43),2,IF(BP39=MIN(BP38:BP43),3,0)),0)</f>
        <v>#VALUE!</v>
      </c>
      <c r="BR39" s="242" t="e">
        <f>IF(AND(BO39=0,BQ39=0),3,0)</f>
        <v>#VALUE!</v>
      </c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36"/>
      <c r="FK39" s="236"/>
      <c r="FL39" s="236"/>
      <c r="FM39" s="236"/>
    </row>
    <row r="40" spans="1:169" ht="27.95" customHeight="1" x14ac:dyDescent="0.2">
      <c r="A40" s="809">
        <v>3</v>
      </c>
      <c r="B40" s="879"/>
      <c r="C40" s="801">
        <v>23</v>
      </c>
      <c r="D40" s="802"/>
      <c r="E40" s="803"/>
      <c r="F40" s="804">
        <f>IF(C40="","",VLOOKUP(C40,liste!$A$9:$G$145,7,FALSE))</f>
        <v>7223032</v>
      </c>
      <c r="G40" s="805" t="e">
        <f>IF(F40="","",VLOOKUP(F40,liste!$A$9:$G$145,7,FALSE))</f>
        <v>#N/A</v>
      </c>
      <c r="H40" s="806" t="e">
        <f>IF(G40="","",VLOOKUP(G40,liste!$A$9:$G$145,7,FALSE))</f>
        <v>#N/A</v>
      </c>
      <c r="I40" s="852" t="str">
        <f>IF(C40="","",VLOOKUP(C40,liste!$A$9:$G$145,2,FALSE))</f>
        <v>BERGE LEPARC Nolann</v>
      </c>
      <c r="J40" s="853"/>
      <c r="K40" s="853"/>
      <c r="L40" s="853"/>
      <c r="M40" s="853"/>
      <c r="N40" s="854"/>
      <c r="O40" s="855">
        <f>IF(C40="","",VLOOKUP(C40,liste!$A$9:$G$145,4,FALSE))</f>
        <v>5</v>
      </c>
      <c r="P40" s="856" t="str">
        <f>IF(J40="","",VLOOKUP(J40,liste!$A$9:$G$145,4,FALSE))</f>
        <v/>
      </c>
      <c r="Q40" s="829" t="str">
        <f>IF(C40="","",VLOOKUP(C40,liste!$A$9:$G$145,3,FALSE))</f>
        <v>SAINTE JAMME TT</v>
      </c>
      <c r="R40" s="830"/>
      <c r="S40" s="830"/>
      <c r="T40" s="830"/>
      <c r="U40" s="830"/>
      <c r="V40" s="830"/>
      <c r="W40" s="830"/>
      <c r="X40" s="830"/>
      <c r="Y40" s="831"/>
      <c r="Z40" s="829">
        <f>IF(C40="","",VLOOKUP(C40,liste!$A$9:$G$145,6,FALSE))</f>
        <v>500</v>
      </c>
      <c r="AA40" s="831" t="str">
        <f>IF(U40="","",VLOOKUP(U40,liste!$A$9:$G$145,4,FALSE))</f>
        <v/>
      </c>
      <c r="AB40" s="600" t="str">
        <f>"H"&amp;Z52&amp;C40</f>
        <v>H23</v>
      </c>
      <c r="AC40" s="236"/>
      <c r="AD40" s="236"/>
      <c r="AE40" s="237" t="s">
        <v>36</v>
      </c>
      <c r="AF40" s="239">
        <v>3</v>
      </c>
      <c r="AG40" s="243">
        <f>C40</f>
        <v>23</v>
      </c>
      <c r="AH40" s="237" t="s">
        <v>5</v>
      </c>
      <c r="AI40" s="237" t="s">
        <v>5</v>
      </c>
      <c r="AJ40" s="237"/>
      <c r="AK40" s="237"/>
      <c r="AL40" s="237" t="s">
        <v>60</v>
      </c>
      <c r="AM40" s="237" t="e">
        <f>IF($BK$38=3,$AF$38,IF($BK$39=3,$AF$39,IF($BK$40=3,$AF$40,IF($BK$41=3,$AF$41,""))))</f>
        <v>#VALUE!</v>
      </c>
      <c r="AN40" s="238"/>
      <c r="AO40" s="244" t="e">
        <f>VLOOKUP(AM40,AF38:AG41,2)</f>
        <v>#VALUE!</v>
      </c>
      <c r="AP40" s="238"/>
      <c r="AQ40" s="238"/>
      <c r="AR40" s="238"/>
      <c r="AS40" s="240" t="s">
        <v>5</v>
      </c>
      <c r="AT40" s="241"/>
      <c r="AU40" s="241"/>
      <c r="AV40" s="245" t="e">
        <f>BH40</f>
        <v>#VALUE!</v>
      </c>
      <c r="AW40" s="241"/>
      <c r="AX40" s="241" t="s">
        <v>36</v>
      </c>
      <c r="AY40" s="241" t="e">
        <f>CF49</f>
        <v>#VALUE!</v>
      </c>
      <c r="AZ40" s="241"/>
      <c r="BA40" s="242" t="e">
        <f>IF(DE49&gt;0,CX49/DE49,IF(CX49&gt;0,CX49/1,0))</f>
        <v>#VALUE!</v>
      </c>
      <c r="BB40" s="242" t="e">
        <f>IF(DS49&gt;0,IF(BA40=0,0,DL49/DS49),IF(DL49&gt;0,DL49/1,0))</f>
        <v>#VALUE!</v>
      </c>
      <c r="BC40" s="241" t="e">
        <f>IF(BA40&lt;&gt;0,IF(EG49&gt;0,DZ49/EG49,0),0)</f>
        <v>#VALUE!</v>
      </c>
      <c r="BD40" s="241" t="s">
        <v>5</v>
      </c>
      <c r="BE40" s="242" t="e">
        <f>IF(EU49&gt;0,IF(BC40=0,0,EN49/EU49),IF(EN49&gt;0,EN49/1,0))</f>
        <v>#VALUE!</v>
      </c>
      <c r="BF40" s="242" t="e">
        <f>IF(BE40&lt;&gt;0,IF(FI49&gt;0,FB49/FI49,0),0)</f>
        <v>#VALUE!</v>
      </c>
      <c r="BG40" s="242" t="s">
        <v>36</v>
      </c>
      <c r="BH40" s="246" t="e">
        <f>AY40+BA40*0.01+BB40*0.0001+BC40*0.000001+BE40*0.00000001+BF40*0.0000000001</f>
        <v>#VALUE!</v>
      </c>
      <c r="BI40" s="241"/>
      <c r="BJ40" s="241"/>
      <c r="BK40" s="242" t="e">
        <f>RANK(BH40,BH38:BH44,)</f>
        <v>#VALUE!</v>
      </c>
      <c r="BL40" s="242"/>
      <c r="BM40" s="242"/>
      <c r="BN40" s="242"/>
      <c r="BO40" s="242" t="e">
        <f>IF(BH40=MIN(BH38:BH43),4,IF(BH40=MAX(BH38:BH43),1,0))</f>
        <v>#VALUE!</v>
      </c>
      <c r="BP40" s="242" t="e">
        <f>IF(BO40=0,BH40,0)</f>
        <v>#VALUE!</v>
      </c>
      <c r="BQ40" s="242" t="e">
        <f>IF(BP40&lt;&gt;0,IF(BP40=MAX(BP38:BP43),2,IF(BP40=MIN(BP38:BP43),3,0)),0)</f>
        <v>#VALUE!</v>
      </c>
      <c r="BR40" s="242" t="e">
        <f>IF(AND(BO40=0,BQ40=0),3,0)</f>
        <v>#VALUE!</v>
      </c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36"/>
      <c r="FK40" s="236"/>
      <c r="FL40" s="236"/>
      <c r="FM40" s="236"/>
    </row>
    <row r="41" spans="1:169" ht="27.95" customHeight="1" thickBot="1" x14ac:dyDescent="0.25">
      <c r="A41" s="872">
        <v>4</v>
      </c>
      <c r="B41" s="880"/>
      <c r="C41" s="865">
        <v>25</v>
      </c>
      <c r="D41" s="866"/>
      <c r="E41" s="867"/>
      <c r="F41" s="814">
        <f>IF(C41="","",VLOOKUP(C41,liste!$A$9:$G$145,7,FALSE))</f>
        <v>7223064</v>
      </c>
      <c r="G41" s="815" t="e">
        <f>IF(F41="","",VLOOKUP(F41,liste!$A$9:$G$145,7,FALSE))</f>
        <v>#N/A</v>
      </c>
      <c r="H41" s="816" t="e">
        <f>IF(G41="","",VLOOKUP(G41,liste!$A$9:$G$145,7,FALSE))</f>
        <v>#N/A</v>
      </c>
      <c r="I41" s="826" t="str">
        <f>IF(C41="","",VLOOKUP(C41,liste!$A$9:$G$145,2,FALSE))</f>
        <v>LECOMTE Erwan</v>
      </c>
      <c r="J41" s="827"/>
      <c r="K41" s="827"/>
      <c r="L41" s="827"/>
      <c r="M41" s="827"/>
      <c r="N41" s="828"/>
      <c r="O41" s="841">
        <f>IF(C41="","",VLOOKUP(C41,liste!$A$9:$G$145,4,FALSE))</f>
        <v>5</v>
      </c>
      <c r="P41" s="842" t="str">
        <f>IF(J41="","",VLOOKUP(J41,liste!$A$9:$G$145,4,FALSE))</f>
        <v/>
      </c>
      <c r="Q41" s="843" t="str">
        <f>IF(C41="","",VLOOKUP(C41,liste!$A$9:$G$145,3,FALSE))</f>
        <v>LA CHAPELLE ALTT</v>
      </c>
      <c r="R41" s="844"/>
      <c r="S41" s="844"/>
      <c r="T41" s="844"/>
      <c r="U41" s="844"/>
      <c r="V41" s="844"/>
      <c r="W41" s="844"/>
      <c r="X41" s="844"/>
      <c r="Y41" s="845"/>
      <c r="Z41" s="843">
        <f>IF(C41="","",VLOOKUP(C41,liste!$A$9:$G$145,6,FALSE))</f>
        <v>500</v>
      </c>
      <c r="AA41" s="845" t="str">
        <f>IF(U41="","",VLOOKUP(U41,liste!$A$9:$G$145,4,FALSE))</f>
        <v/>
      </c>
      <c r="AB41" s="600" t="str">
        <f>"H"&amp;AA52&amp;C41</f>
        <v>H25</v>
      </c>
      <c r="AC41" s="236"/>
      <c r="AD41" s="236"/>
      <c r="AE41" s="237" t="s">
        <v>61</v>
      </c>
      <c r="AF41" s="239">
        <v>4</v>
      </c>
      <c r="AG41" s="243">
        <f>C41</f>
        <v>25</v>
      </c>
      <c r="AH41" s="237" t="s">
        <v>5</v>
      </c>
      <c r="AI41" s="237" t="s">
        <v>5</v>
      </c>
      <c r="AJ41" s="237"/>
      <c r="AK41" s="237"/>
      <c r="AL41" s="237" t="s">
        <v>62</v>
      </c>
      <c r="AM41" s="237" t="e">
        <f>IF($BK$38=4,$AF$38,IF($BK$39=4,$AF$39,IF($BK$40=4,$AF$40,IF($BK$41=4,$AF$41,""))))</f>
        <v>#VALUE!</v>
      </c>
      <c r="AN41" s="238"/>
      <c r="AO41" s="244" t="e">
        <f>VLOOKUP(AM41,AF38:AG41,2)</f>
        <v>#VALUE!</v>
      </c>
      <c r="AP41" s="238"/>
      <c r="AQ41" s="238"/>
      <c r="AR41" s="238"/>
      <c r="AS41" s="240" t="s">
        <v>5</v>
      </c>
      <c r="AT41" s="247"/>
      <c r="AU41" s="241"/>
      <c r="AV41" s="245" t="e">
        <f>BH41</f>
        <v>#VALUE!</v>
      </c>
      <c r="AW41" s="241"/>
      <c r="AX41" s="241" t="s">
        <v>61</v>
      </c>
      <c r="AY41" s="241" t="e">
        <f>CF50</f>
        <v>#VALUE!</v>
      </c>
      <c r="AZ41" s="241"/>
      <c r="BA41" s="242" t="e">
        <f>IF(DE50&gt;0,CX50/DE50,IF(CX50&gt;0,CX50/1,0))</f>
        <v>#VALUE!</v>
      </c>
      <c r="BB41" s="242" t="e">
        <f>IF(DS50&gt;0,IF(BA41=0,0,DL50/DS50),IF(DL50&gt;0,DL50/1,0))</f>
        <v>#VALUE!</v>
      </c>
      <c r="BC41" s="241" t="e">
        <f>IF(BA41&lt;&gt;0,IF(EG50&gt;0,DZ50/EG50,0),0)</f>
        <v>#VALUE!</v>
      </c>
      <c r="BD41" s="241" t="s">
        <v>5</v>
      </c>
      <c r="BE41" s="242" t="e">
        <f>IF(EU50&gt;0,IF(BC41=0,0,EN50/EU50),IF(EN50&gt;0,EN50/1,0))</f>
        <v>#VALUE!</v>
      </c>
      <c r="BF41" s="241" t="e">
        <f>IF(BE41&lt;&gt;0,IF(FI50&gt;0,FB50/FI50,0),0)</f>
        <v>#VALUE!</v>
      </c>
      <c r="BG41" s="242" t="s">
        <v>61</v>
      </c>
      <c r="BH41" s="246" t="e">
        <f>AY41+BA41*0.01+BB41*0.0001+BC41*0.000001+BE41*0.00000001+BF41*0.0000000001</f>
        <v>#VALUE!</v>
      </c>
      <c r="BI41" s="241"/>
      <c r="BJ41" s="241"/>
      <c r="BK41" s="242" t="e">
        <f>RANK(BH41,BH38:BH44,)</f>
        <v>#VALUE!</v>
      </c>
      <c r="BL41" s="242"/>
      <c r="BM41" s="242"/>
      <c r="BN41" s="242"/>
      <c r="BO41" s="242" t="e">
        <f>IF(BH41=MIN(BH38:BH43),4,IF(BH41=MAX(BH38:BH43),1,0))</f>
        <v>#VALUE!</v>
      </c>
      <c r="BP41" s="242" t="e">
        <f>IF(BO41=0,BH41,0)</f>
        <v>#VALUE!</v>
      </c>
      <c r="BQ41" s="242" t="e">
        <f>IF(BP41&lt;&gt;0,IF(BP41=MAX(BP38:BP43),2,IF(BP41=MIN(BP38:BP43),3,0)),0)</f>
        <v>#VALUE!</v>
      </c>
      <c r="BR41" s="242" t="e">
        <f>IF(AND(BO41=0,BQ41=0),3,0)</f>
        <v>#VALUE!</v>
      </c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36"/>
      <c r="FK41" s="236"/>
      <c r="FL41" s="236"/>
      <c r="FM41" s="236"/>
    </row>
    <row r="42" spans="1:169" ht="21.95" customHeight="1" thickBot="1" x14ac:dyDescent="0.25">
      <c r="A42" s="503"/>
      <c r="B42" s="503"/>
      <c r="C42" s="503"/>
      <c r="D42" s="503"/>
      <c r="E42" s="503"/>
      <c r="F42" s="503"/>
      <c r="G42" s="503"/>
      <c r="H42" s="506"/>
      <c r="I42" s="506"/>
      <c r="J42" s="506"/>
      <c r="K42" s="506"/>
      <c r="L42" s="506"/>
      <c r="M42" s="506"/>
      <c r="N42" s="506"/>
      <c r="O42" s="508"/>
      <c r="P42" s="508"/>
      <c r="Q42" s="508"/>
      <c r="R42" s="508"/>
      <c r="S42" s="508"/>
      <c r="T42" s="508"/>
      <c r="U42" s="508"/>
      <c r="V42" s="508"/>
      <c r="W42" s="508"/>
      <c r="X42" s="515"/>
      <c r="Y42" s="515"/>
      <c r="Z42" s="515"/>
      <c r="AA42" s="515"/>
      <c r="AC42" s="236"/>
      <c r="AD42" s="236"/>
      <c r="AE42" s="238"/>
      <c r="AF42" s="244"/>
      <c r="AG42" s="238"/>
      <c r="AH42" s="238"/>
      <c r="AI42" s="238"/>
      <c r="AJ42" s="238"/>
      <c r="AK42" s="238"/>
      <c r="AL42" s="238"/>
      <c r="AM42" s="238"/>
      <c r="AN42" s="238"/>
      <c r="AO42" s="244"/>
      <c r="AP42" s="238"/>
      <c r="AQ42" s="238"/>
      <c r="AR42" s="238"/>
      <c r="AS42" s="241"/>
      <c r="AT42" s="241"/>
      <c r="AU42" s="241"/>
      <c r="AV42" s="241"/>
      <c r="AW42" s="241"/>
      <c r="AX42" s="241"/>
      <c r="AY42" s="241"/>
      <c r="AZ42" s="241"/>
      <c r="BA42" s="242"/>
      <c r="BB42" s="242"/>
      <c r="BC42" s="241"/>
      <c r="BD42" s="241"/>
      <c r="BE42" s="242"/>
      <c r="BF42" s="241"/>
      <c r="BG42" s="242"/>
      <c r="BH42" s="246"/>
      <c r="BI42" s="241"/>
      <c r="BJ42" s="241"/>
      <c r="BK42" s="242"/>
      <c r="BL42" s="242"/>
      <c r="BM42" s="242"/>
      <c r="BN42" s="242"/>
      <c r="BO42" s="242"/>
      <c r="BP42" s="242"/>
      <c r="BQ42" s="242"/>
      <c r="BR42" s="242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36"/>
      <c r="FK42" s="236"/>
      <c r="FL42" s="236"/>
      <c r="FM42" s="236"/>
    </row>
    <row r="43" spans="1:169" ht="21.95" customHeight="1" thickBot="1" x14ac:dyDescent="0.25">
      <c r="A43" s="503"/>
      <c r="B43" s="503"/>
      <c r="C43" s="503"/>
      <c r="D43" s="503"/>
      <c r="E43" s="503"/>
      <c r="F43" s="503"/>
      <c r="G43" s="503"/>
      <c r="H43" s="506"/>
      <c r="I43" s="506"/>
      <c r="J43" s="506"/>
      <c r="K43" s="506"/>
      <c r="L43" s="506"/>
      <c r="M43" s="506"/>
      <c r="N43" s="506"/>
      <c r="O43" s="508"/>
      <c r="P43" s="508"/>
      <c r="Q43" s="508"/>
      <c r="R43" s="839" t="s">
        <v>19</v>
      </c>
      <c r="S43" s="840"/>
      <c r="T43" s="840"/>
      <c r="U43" s="840"/>
      <c r="V43" s="840"/>
      <c r="W43" s="516"/>
      <c r="X43" s="836" t="s">
        <v>10</v>
      </c>
      <c r="Y43" s="838"/>
      <c r="Z43" s="838"/>
      <c r="AA43" s="837"/>
      <c r="AC43" s="236"/>
      <c r="AD43" s="236"/>
      <c r="AE43" s="248"/>
      <c r="AF43" s="249"/>
      <c r="AG43" s="248"/>
      <c r="AH43" s="248"/>
      <c r="AI43" s="248"/>
      <c r="AJ43" s="248"/>
      <c r="AK43" s="248"/>
      <c r="AL43" s="248"/>
      <c r="AM43" s="248"/>
      <c r="AN43" s="248"/>
      <c r="AO43" s="249"/>
      <c r="AP43" s="248"/>
      <c r="AQ43" s="248"/>
      <c r="AR43" s="248"/>
      <c r="AS43" s="241"/>
      <c r="AT43" s="241"/>
      <c r="AU43" s="241"/>
      <c r="AV43" s="241"/>
      <c r="AW43" s="241"/>
      <c r="AX43" s="241"/>
      <c r="AY43" s="241"/>
      <c r="AZ43" s="241"/>
      <c r="BA43" s="242"/>
      <c r="BB43" s="242"/>
      <c r="BC43" s="241"/>
      <c r="BD43" s="241"/>
      <c r="BE43" s="241"/>
      <c r="BF43" s="241"/>
      <c r="BG43" s="242"/>
      <c r="BH43" s="246"/>
      <c r="BI43" s="241"/>
      <c r="BJ43" s="241"/>
      <c r="BK43" s="242"/>
      <c r="BL43" s="242"/>
      <c r="BM43" s="242"/>
      <c r="BN43" s="242"/>
      <c r="BO43" s="242"/>
      <c r="BP43" s="242"/>
      <c r="BQ43" s="242"/>
      <c r="BR43" s="242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36"/>
      <c r="FK43" s="236"/>
      <c r="FL43" s="236"/>
      <c r="FM43" s="236"/>
    </row>
    <row r="44" spans="1:169" ht="21.95" customHeight="1" thickBot="1" x14ac:dyDescent="0.25">
      <c r="A44" s="517"/>
      <c r="B44" s="517"/>
      <c r="C44" s="517"/>
      <c r="D44" s="517"/>
      <c r="E44" s="518" t="s">
        <v>181</v>
      </c>
      <c r="F44" s="519" t="s">
        <v>178</v>
      </c>
      <c r="G44" s="517"/>
      <c r="H44" s="515"/>
      <c r="I44" s="515"/>
      <c r="J44" s="515"/>
      <c r="K44" s="515"/>
      <c r="L44" s="515"/>
      <c r="M44" s="515"/>
      <c r="N44" s="515"/>
      <c r="O44" s="520"/>
      <c r="P44" s="520"/>
      <c r="Q44" s="520"/>
      <c r="R44" s="521">
        <v>1</v>
      </c>
      <c r="S44" s="522">
        <v>2</v>
      </c>
      <c r="T44" s="522">
        <v>3</v>
      </c>
      <c r="U44" s="523">
        <v>4</v>
      </c>
      <c r="V44" s="524">
        <v>5</v>
      </c>
      <c r="W44" s="516"/>
      <c r="X44" s="525">
        <v>1</v>
      </c>
      <c r="Y44" s="526">
        <v>2</v>
      </c>
      <c r="Z44" s="526">
        <v>3</v>
      </c>
      <c r="AA44" s="527">
        <v>4</v>
      </c>
      <c r="AC44" s="236"/>
      <c r="AD44" s="236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2"/>
      <c r="BL44" s="242"/>
      <c r="BM44" s="242"/>
      <c r="BN44" s="242"/>
      <c r="BO44" s="242"/>
      <c r="BP44" s="242"/>
      <c r="BQ44" s="242"/>
      <c r="BR44" s="242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36"/>
      <c r="FK44" s="236"/>
      <c r="FL44" s="236"/>
      <c r="FM44" s="236"/>
    </row>
    <row r="45" spans="1:169" ht="27.95" customHeight="1" x14ac:dyDescent="0.2">
      <c r="A45" s="528">
        <v>1</v>
      </c>
      <c r="B45" s="529" t="s">
        <v>13</v>
      </c>
      <c r="C45" s="530">
        <v>4</v>
      </c>
      <c r="D45" s="531" t="str">
        <f>Rens!$F$4</f>
        <v>Sa</v>
      </c>
      <c r="E45" s="532">
        <f>Rens!$B$14</f>
        <v>0</v>
      </c>
      <c r="F45" s="533">
        <f>Rens!$C$14</f>
        <v>0</v>
      </c>
      <c r="G45" s="832" t="str">
        <f t="shared" ref="G45:G50" si="24" xml:space="preserve"> VLOOKUP(A45,$A$38:$O$41,9)</f>
        <v>JUHEL Ethan</v>
      </c>
      <c r="H45" s="821"/>
      <c r="I45" s="821"/>
      <c r="J45" s="821"/>
      <c r="K45" s="821"/>
      <c r="L45" s="534" t="s">
        <v>9</v>
      </c>
      <c r="M45" s="821" t="str">
        <f t="shared" ref="M45:M50" si="25" xml:space="preserve"> VLOOKUP(C45,$A$38:$O$41,9)</f>
        <v>LECOMTE Erwan</v>
      </c>
      <c r="N45" s="821"/>
      <c r="O45" s="821"/>
      <c r="P45" s="821"/>
      <c r="Q45" s="822"/>
      <c r="R45" s="588"/>
      <c r="S45" s="589"/>
      <c r="T45" s="589"/>
      <c r="U45" s="536"/>
      <c r="V45" s="536"/>
      <c r="W45" s="538"/>
      <c r="X45" s="539" t="str">
        <f>IF(AND(COUNTIF(($R45:$V45),"&gt;0")&gt;=2),1,IF(AND(COUNTIF(($R45:$V45),"&lt;0")&gt;=2),0,blanc))</f>
        <v xml:space="preserve"> </v>
      </c>
      <c r="Y45" s="540"/>
      <c r="Z45" s="540"/>
      <c r="AA45" s="541" t="str">
        <f>IF(AND(X45=0),1,IF(AND(X45=1),0,blanc))</f>
        <v xml:space="preserve"> </v>
      </c>
      <c r="AC45" s="236"/>
      <c r="AD45" s="236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>
        <f>BH45</f>
        <v>0</v>
      </c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 t="s">
        <v>41</v>
      </c>
      <c r="CT45" s="241"/>
      <c r="CU45" s="241"/>
      <c r="CV45" s="241"/>
      <c r="CW45" s="241"/>
      <c r="CX45" s="241"/>
      <c r="CY45" s="241"/>
      <c r="CZ45" s="241" t="s">
        <v>42</v>
      </c>
      <c r="DA45" s="241"/>
      <c r="DB45" s="241"/>
      <c r="DC45" s="241"/>
      <c r="DD45" s="241"/>
      <c r="DE45" s="236"/>
      <c r="DF45" s="241"/>
      <c r="DG45" s="241" t="s">
        <v>54</v>
      </c>
      <c r="DH45" s="241"/>
      <c r="DI45" s="241"/>
      <c r="DJ45" s="241"/>
      <c r="DK45" s="241"/>
      <c r="DL45" s="241"/>
      <c r="DM45" s="241"/>
      <c r="DN45" s="241" t="s">
        <v>55</v>
      </c>
      <c r="DO45" s="241"/>
      <c r="DP45" s="241"/>
      <c r="DQ45" s="241"/>
      <c r="DR45" s="241"/>
      <c r="DS45" s="241"/>
      <c r="DT45" s="241"/>
      <c r="DU45" s="241" t="s">
        <v>43</v>
      </c>
      <c r="DV45" s="241"/>
      <c r="DW45" s="241"/>
      <c r="DX45" s="241"/>
      <c r="DY45" s="241"/>
      <c r="DZ45" s="241"/>
      <c r="EA45" s="241"/>
      <c r="EB45" s="241" t="s">
        <v>44</v>
      </c>
      <c r="EC45" s="241"/>
      <c r="ED45" s="241"/>
      <c r="EE45" s="241"/>
      <c r="EF45" s="241"/>
      <c r="EG45" s="241"/>
      <c r="EH45" s="241"/>
      <c r="EI45" s="241" t="s">
        <v>56</v>
      </c>
      <c r="EJ45" s="241"/>
      <c r="EK45" s="241"/>
      <c r="EL45" s="241"/>
      <c r="EM45" s="241"/>
      <c r="EN45" s="241"/>
      <c r="EO45" s="241"/>
      <c r="EP45" s="241" t="s">
        <v>57</v>
      </c>
      <c r="EQ45" s="241"/>
      <c r="ER45" s="241"/>
      <c r="ES45" s="241"/>
      <c r="ET45" s="241"/>
      <c r="EU45" s="241"/>
      <c r="EV45" s="241"/>
      <c r="EW45" s="241" t="s">
        <v>45</v>
      </c>
      <c r="EX45" s="241"/>
      <c r="EY45" s="241"/>
      <c r="EZ45" s="241"/>
      <c r="FA45" s="241"/>
      <c r="FB45" s="241"/>
      <c r="FC45" s="241"/>
      <c r="FD45" s="241" t="s">
        <v>46</v>
      </c>
      <c r="FE45" s="241"/>
      <c r="FF45" s="241"/>
      <c r="FG45" s="241"/>
      <c r="FH45" s="241"/>
      <c r="FI45" s="241"/>
      <c r="FJ45" s="236"/>
      <c r="FK45" s="236"/>
      <c r="FL45" s="236"/>
      <c r="FM45" s="236"/>
    </row>
    <row r="46" spans="1:169" ht="27.95" customHeight="1" thickBot="1" x14ac:dyDescent="0.25">
      <c r="A46" s="542">
        <v>2</v>
      </c>
      <c r="B46" s="543" t="s">
        <v>13</v>
      </c>
      <c r="C46" s="544">
        <v>3</v>
      </c>
      <c r="D46" s="545"/>
      <c r="E46" s="546">
        <f>E45+0.021</f>
        <v>2.1000000000000001E-2</v>
      </c>
      <c r="F46" s="547">
        <f>F45</f>
        <v>0</v>
      </c>
      <c r="G46" s="817" t="str">
        <f t="shared" si="24"/>
        <v>LAIR Enzo</v>
      </c>
      <c r="H46" s="818"/>
      <c r="I46" s="818"/>
      <c r="J46" s="818"/>
      <c r="K46" s="818"/>
      <c r="L46" s="548" t="s">
        <v>9</v>
      </c>
      <c r="M46" s="818" t="str">
        <f t="shared" si="25"/>
        <v>BERGE LEPARC Nolann</v>
      </c>
      <c r="N46" s="818"/>
      <c r="O46" s="818"/>
      <c r="P46" s="818"/>
      <c r="Q46" s="823"/>
      <c r="R46" s="549"/>
      <c r="S46" s="550"/>
      <c r="T46" s="550"/>
      <c r="U46" s="551"/>
      <c r="V46" s="551"/>
      <c r="W46" s="538"/>
      <c r="X46" s="553"/>
      <c r="Y46" s="554" t="str">
        <f>IF(AND(COUNTIF(($R46:$V46),"&gt;0")&gt;=2),1,IF(AND(COUNTIF(($R46:$V46),"&lt;0")&gt;=2),0,blanc))</f>
        <v xml:space="preserve"> </v>
      </c>
      <c r="Z46" s="554" t="str">
        <f>IF(AND(Y46=0),1,IF(AND(Y46=1),0,blanc))</f>
        <v xml:space="preserve"> </v>
      </c>
      <c r="AA46" s="555"/>
      <c r="AC46" s="236"/>
      <c r="AD46" s="236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 t="s">
        <v>33</v>
      </c>
      <c r="BV46" s="241" t="s">
        <v>5</v>
      </c>
      <c r="BW46" s="241" t="s">
        <v>35</v>
      </c>
      <c r="BX46" s="241"/>
      <c r="BY46" s="241" t="s">
        <v>36</v>
      </c>
      <c r="BZ46" s="241"/>
      <c r="CA46" s="241" t="s">
        <v>61</v>
      </c>
      <c r="CB46" s="241"/>
      <c r="CC46" s="241"/>
      <c r="CD46" s="241"/>
      <c r="CE46" s="241"/>
      <c r="CF46" s="250" t="s">
        <v>52</v>
      </c>
      <c r="CG46" s="250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51" t="s">
        <v>33</v>
      </c>
      <c r="CT46" s="242" t="s">
        <v>35</v>
      </c>
      <c r="CU46" s="242" t="s">
        <v>36</v>
      </c>
      <c r="CV46" s="242" t="s">
        <v>61</v>
      </c>
      <c r="CW46" s="242"/>
      <c r="CX46" s="252"/>
      <c r="CY46" s="241"/>
      <c r="CZ46" s="251" t="s">
        <v>33</v>
      </c>
      <c r="DA46" s="242" t="s">
        <v>35</v>
      </c>
      <c r="DB46" s="242" t="s">
        <v>36</v>
      </c>
      <c r="DC46" s="242" t="s">
        <v>61</v>
      </c>
      <c r="DD46" s="242"/>
      <c r="DE46" s="236"/>
      <c r="DF46" s="241"/>
      <c r="DG46" s="251" t="s">
        <v>33</v>
      </c>
      <c r="DH46" s="242" t="s">
        <v>35</v>
      </c>
      <c r="DI46" s="242" t="s">
        <v>36</v>
      </c>
      <c r="DJ46" s="242" t="s">
        <v>61</v>
      </c>
      <c r="DK46" s="242"/>
      <c r="DL46" s="252"/>
      <c r="DM46" s="241"/>
      <c r="DN46" s="251" t="s">
        <v>33</v>
      </c>
      <c r="DO46" s="242" t="s">
        <v>35</v>
      </c>
      <c r="DP46" s="242" t="s">
        <v>36</v>
      </c>
      <c r="DQ46" s="242" t="s">
        <v>61</v>
      </c>
      <c r="DR46" s="242"/>
      <c r="DS46" s="249"/>
      <c r="DT46" s="236"/>
      <c r="DU46" s="251" t="s">
        <v>33</v>
      </c>
      <c r="DV46" s="242" t="s">
        <v>35</v>
      </c>
      <c r="DW46" s="242" t="s">
        <v>36</v>
      </c>
      <c r="DX46" s="242" t="s">
        <v>61</v>
      </c>
      <c r="DY46" s="242"/>
      <c r="DZ46" s="249"/>
      <c r="EA46" s="236"/>
      <c r="EB46" s="251" t="s">
        <v>33</v>
      </c>
      <c r="EC46" s="242" t="s">
        <v>35</v>
      </c>
      <c r="ED46" s="242" t="s">
        <v>36</v>
      </c>
      <c r="EE46" s="242" t="s">
        <v>61</v>
      </c>
      <c r="EF46" s="242"/>
      <c r="EG46" s="252"/>
      <c r="EH46" s="236"/>
      <c r="EI46" s="251" t="s">
        <v>33</v>
      </c>
      <c r="EJ46" s="242" t="s">
        <v>35</v>
      </c>
      <c r="EK46" s="242" t="s">
        <v>36</v>
      </c>
      <c r="EL46" s="242" t="s">
        <v>61</v>
      </c>
      <c r="EM46" s="242"/>
      <c r="EN46" s="252"/>
      <c r="EO46" s="236"/>
      <c r="EP46" s="251" t="s">
        <v>33</v>
      </c>
      <c r="EQ46" s="242" t="s">
        <v>35</v>
      </c>
      <c r="ER46" s="242" t="s">
        <v>36</v>
      </c>
      <c r="ES46" s="242" t="s">
        <v>61</v>
      </c>
      <c r="ET46" s="242"/>
      <c r="EU46" s="242"/>
      <c r="EV46" s="236"/>
      <c r="EW46" s="251" t="s">
        <v>33</v>
      </c>
      <c r="EX46" s="242" t="s">
        <v>35</v>
      </c>
      <c r="EY46" s="242" t="s">
        <v>36</v>
      </c>
      <c r="EZ46" s="242" t="s">
        <v>61</v>
      </c>
      <c r="FA46" s="242"/>
      <c r="FB46" s="242"/>
      <c r="FC46" s="236"/>
      <c r="FD46" s="251" t="s">
        <v>33</v>
      </c>
      <c r="FE46" s="242" t="s">
        <v>35</v>
      </c>
      <c r="FF46" s="242" t="s">
        <v>36</v>
      </c>
      <c r="FG46" s="242" t="s">
        <v>61</v>
      </c>
      <c r="FH46" s="242"/>
      <c r="FI46" s="252"/>
      <c r="FJ46" s="236"/>
      <c r="FK46" s="236"/>
      <c r="FL46" s="236"/>
      <c r="FM46" s="236"/>
    </row>
    <row r="47" spans="1:169" ht="27.95" customHeight="1" thickTop="1" x14ac:dyDescent="0.2">
      <c r="A47" s="542">
        <v>1</v>
      </c>
      <c r="B47" s="543" t="s">
        <v>13</v>
      </c>
      <c r="C47" s="544">
        <v>3</v>
      </c>
      <c r="D47" s="545" t="str">
        <f>D45</f>
        <v>Sa</v>
      </c>
      <c r="E47" s="546">
        <f>E46+0.021</f>
        <v>4.2000000000000003E-2</v>
      </c>
      <c r="F47" s="547">
        <f>F45</f>
        <v>0</v>
      </c>
      <c r="G47" s="817" t="str">
        <f t="shared" si="24"/>
        <v>JUHEL Ethan</v>
      </c>
      <c r="H47" s="818"/>
      <c r="I47" s="818"/>
      <c r="J47" s="818"/>
      <c r="K47" s="818"/>
      <c r="L47" s="548" t="s">
        <v>9</v>
      </c>
      <c r="M47" s="818" t="str">
        <f t="shared" si="25"/>
        <v>BERGE LEPARC Nolann</v>
      </c>
      <c r="N47" s="818"/>
      <c r="O47" s="818"/>
      <c r="P47" s="818"/>
      <c r="Q47" s="823"/>
      <c r="R47" s="556"/>
      <c r="S47" s="551"/>
      <c r="T47" s="551"/>
      <c r="U47" s="551"/>
      <c r="V47" s="551"/>
      <c r="W47" s="538"/>
      <c r="X47" s="557" t="str">
        <f>IF(AND(COUNTIF(($R47:$V47),"&gt;0")&gt;=2),1,IF(AND(COUNTIF(($R47:$V47),"&lt;0")&gt;=2),0,blanc))</f>
        <v xml:space="preserve"> </v>
      </c>
      <c r="Y47" s="558"/>
      <c r="Z47" s="554" t="str">
        <f>IF(AND(X47=0),1,IF(AND(X47=1),0,blanc))</f>
        <v xml:space="preserve"> </v>
      </c>
      <c r="AA47" s="555"/>
      <c r="AC47" s="253" t="s">
        <v>37</v>
      </c>
      <c r="AD47" s="254" t="str">
        <f>AI36</f>
        <v>IG1</v>
      </c>
      <c r="AE47" s="255"/>
      <c r="AF47" s="256" t="s">
        <v>64</v>
      </c>
      <c r="AG47" s="257"/>
      <c r="AH47" s="256" t="s">
        <v>65</v>
      </c>
      <c r="AI47" s="257"/>
      <c r="AJ47" s="256" t="s">
        <v>66</v>
      </c>
      <c r="AK47" s="257"/>
      <c r="AL47" s="256" t="s">
        <v>67</v>
      </c>
      <c r="AM47" s="258"/>
      <c r="AN47" s="256" t="s">
        <v>68</v>
      </c>
      <c r="AO47" s="259"/>
      <c r="AP47" s="260" t="s">
        <v>38</v>
      </c>
      <c r="AQ47" s="261"/>
      <c r="AR47" s="261"/>
      <c r="AS47" s="261"/>
      <c r="AT47" s="262"/>
      <c r="AU47" s="263"/>
      <c r="AV47" s="264"/>
      <c r="AW47" s="264"/>
      <c r="AX47" s="264"/>
      <c r="AY47" s="265" t="s">
        <v>38</v>
      </c>
      <c r="AZ47" s="255"/>
      <c r="BA47" s="255"/>
      <c r="BB47" s="255"/>
      <c r="BC47" s="266" t="s">
        <v>69</v>
      </c>
      <c r="BD47" s="255"/>
      <c r="BE47" s="255"/>
      <c r="BF47" s="255"/>
      <c r="BG47" s="255"/>
      <c r="BH47" s="255"/>
      <c r="BI47" s="255"/>
      <c r="BJ47" s="255"/>
      <c r="BK47" s="255"/>
      <c r="BL47" s="266" t="s">
        <v>39</v>
      </c>
      <c r="BM47" s="266" t="s">
        <v>40</v>
      </c>
      <c r="BN47" s="266"/>
      <c r="BO47" s="267"/>
      <c r="BQ47" s="268"/>
      <c r="BR47" s="248"/>
      <c r="BS47" s="237" t="str">
        <f>AE38</f>
        <v>A</v>
      </c>
      <c r="BT47" s="269"/>
      <c r="BU47" s="269"/>
      <c r="BV47" s="237" t="str">
        <f>BH53</f>
        <v>M</v>
      </c>
      <c r="BW47" s="237" t="e">
        <f>BL53</f>
        <v>#VALUE!</v>
      </c>
      <c r="BX47" s="237" t="str">
        <f>BH51</f>
        <v>M</v>
      </c>
      <c r="BY47" s="237" t="e">
        <f>BL51</f>
        <v>#VALUE!</v>
      </c>
      <c r="BZ47" s="237" t="str">
        <f>BH49</f>
        <v>M</v>
      </c>
      <c r="CA47" s="270" t="e">
        <f>BL49</f>
        <v>#VALUE!</v>
      </c>
      <c r="CB47" s="248"/>
      <c r="CC47" s="248"/>
      <c r="CD47" s="271"/>
      <c r="CE47" s="271"/>
      <c r="CF47" s="249" t="e">
        <f t="shared" ref="CF47:CF53" si="26">SUM(CH47:CL47)</f>
        <v>#VALUE!</v>
      </c>
      <c r="CG47" s="242" t="e">
        <f t="shared" ref="CG47:CG53" si="27">SUM(CM47:CQ47)</f>
        <v>#VALUE!</v>
      </c>
      <c r="CH47" s="237" t="e">
        <f>IF(BV47&gt;BW47,1,0)</f>
        <v>#VALUE!</v>
      </c>
      <c r="CI47" s="237" t="e">
        <f>IF(BX47&gt;BY47,1,0)</f>
        <v>#VALUE!</v>
      </c>
      <c r="CJ47" s="237" t="e">
        <f>IF(BZ47&gt;CA47,1,0)</f>
        <v>#VALUE!</v>
      </c>
      <c r="CK47" s="237">
        <f>IF(CB47&gt;CC47,1,0)</f>
        <v>0</v>
      </c>
      <c r="CL47" s="237">
        <f>IF(CD47&gt;CE47,1,0)</f>
        <v>0</v>
      </c>
      <c r="CM47" s="272" t="e">
        <f>IF(BV47&lt;BW47,1,0)</f>
        <v>#VALUE!</v>
      </c>
      <c r="CN47" s="237" t="e">
        <f>IF(BX47&lt;BY47,1,0)</f>
        <v>#VALUE!</v>
      </c>
      <c r="CO47" s="237" t="e">
        <f>IF(BZ47&lt;CA47,1,0)</f>
        <v>#VALUE!</v>
      </c>
      <c r="CP47" s="237">
        <f>IF(CB47&lt;CC47,1,0)</f>
        <v>0</v>
      </c>
      <c r="CQ47" s="237">
        <f>IF(CD47&lt;CE47,1,0)</f>
        <v>0</v>
      </c>
      <c r="CR47" s="237" t="s">
        <v>33</v>
      </c>
      <c r="CS47" s="273" t="s">
        <v>53</v>
      </c>
      <c r="CT47" s="239" t="e">
        <f>IF(CF47=CF48,AY53,"xxx")</f>
        <v>#VALUE!</v>
      </c>
      <c r="CU47" s="239" t="e">
        <f>IF(CF47=CF49,AY51,"xxx")</f>
        <v>#VALUE!</v>
      </c>
      <c r="CV47" s="239" t="e">
        <f>IF(CF47=CF50,AY49,"xxx")</f>
        <v>#VALUE!</v>
      </c>
      <c r="CW47" s="274"/>
      <c r="CX47" s="249" t="e">
        <f>SUM(CS47:CW47)</f>
        <v>#VALUE!</v>
      </c>
      <c r="CY47" s="237" t="s">
        <v>33</v>
      </c>
      <c r="CZ47" s="273" t="s">
        <v>53</v>
      </c>
      <c r="DA47" s="239" t="e">
        <f>IF(CF47=CF48,AZ53,"xxx")</f>
        <v>#VALUE!</v>
      </c>
      <c r="DB47" s="239" t="e">
        <f>IF(CF47=CF49,BA51,"xxx")</f>
        <v>#VALUE!</v>
      </c>
      <c r="DC47" s="239" t="e">
        <f>IF(CF47=CF50,BB49,"xxx")</f>
        <v>#VALUE!</v>
      </c>
      <c r="DD47" s="274"/>
      <c r="DE47" s="249" t="e">
        <f>SUM(CZ47:DD47)</f>
        <v>#VALUE!</v>
      </c>
      <c r="DF47" s="237" t="s">
        <v>33</v>
      </c>
      <c r="DG47" s="273" t="s">
        <v>53</v>
      </c>
      <c r="DH47" s="239" t="e">
        <f>IF(AND(BA38&lt;&gt;0,AY38=AY39),IF(BA38=BA39,AY53,"xxx"),"xxx")</f>
        <v>#VALUE!</v>
      </c>
      <c r="DI47" s="239" t="e">
        <f>IF(AND(BA38&lt;&gt;0,AY38=AY40),IF(BA38=BA40,AY51,"xxx"),"xxx")</f>
        <v>#VALUE!</v>
      </c>
      <c r="DJ47" s="239" t="e">
        <f>IF(AND(BA38&lt;&gt;0,AY38=AY41),IF(BA38=BA41,AY49,"xxx"),"xxx")</f>
        <v>#VALUE!</v>
      </c>
      <c r="DK47" s="274"/>
      <c r="DL47" s="249" t="e">
        <f>SUM(DG47:DK47)</f>
        <v>#VALUE!</v>
      </c>
      <c r="DM47" s="237" t="s">
        <v>33</v>
      </c>
      <c r="DN47" s="273" t="s">
        <v>53</v>
      </c>
      <c r="DO47" s="239" t="e">
        <f>IF(AND(BA38&lt;&gt;0,AY38=AY39),IF(BA38=BA39,AZ53,"xxx"),"xxx")</f>
        <v>#VALUE!</v>
      </c>
      <c r="DP47" s="239" t="e">
        <f>IF(AND(BA38&lt;&gt;0,AY38=AY40),IF(BA38=BA40,BA51,"xxx"),"xxx")</f>
        <v>#VALUE!</v>
      </c>
      <c r="DQ47" s="239" t="e">
        <f>IF(AND(BA38&lt;&gt;0,AY38=AY41),IF(BA38=BA41,BB49,"xxx"),"xxx")</f>
        <v>#VALUE!</v>
      </c>
      <c r="DR47" s="274"/>
      <c r="DS47" s="249" t="e">
        <f>SUM(DN47:DR47)</f>
        <v>#VALUE!</v>
      </c>
      <c r="DT47" s="237" t="s">
        <v>33</v>
      </c>
      <c r="DU47" s="273" t="s">
        <v>53</v>
      </c>
      <c r="DV47" s="239" t="e">
        <f>IF(AND(CF47=CF48,BA38=BA39),BH53,"kkk")</f>
        <v>#VALUE!</v>
      </c>
      <c r="DW47" s="239" t="e">
        <f>IF(AND(CF47=CF49,BA38=BA40),BH51,"kkk")</f>
        <v>#VALUE!</v>
      </c>
      <c r="DX47" s="239" t="e">
        <f>IF(AND(CF47=CF50,BA38=BA41),BH49,"kkk")</f>
        <v>#VALUE!</v>
      </c>
      <c r="DY47" s="274"/>
      <c r="DZ47" s="249" t="e">
        <f>SUM(DU47:DY47)</f>
        <v>#VALUE!</v>
      </c>
      <c r="EA47" s="237" t="s">
        <v>33</v>
      </c>
      <c r="EB47" s="273" t="s">
        <v>53</v>
      </c>
      <c r="EC47" s="239" t="e">
        <f>IF(AND(CF47=CF48,BA38=BA39),BL53,"kkk")</f>
        <v>#VALUE!</v>
      </c>
      <c r="ED47" s="239" t="e">
        <f>IF(AND(CF47=CF49,BA38=BA40),BL51,"kkk")</f>
        <v>#VALUE!</v>
      </c>
      <c r="EE47" s="239" t="e">
        <f>IF(AND(CF47=CF50,BA38=BA41),BL49,"kkk")</f>
        <v>#VALUE!</v>
      </c>
      <c r="EF47" s="274"/>
      <c r="EG47" s="249" t="e">
        <f>SUM(EB47:EF47)</f>
        <v>#VALUE!</v>
      </c>
      <c r="EH47" s="237" t="s">
        <v>33</v>
      </c>
      <c r="EI47" s="273" t="s">
        <v>53</v>
      </c>
      <c r="EJ47" s="239" t="e">
        <f>IF(BD38&lt;&gt;"ùùù",IF(AND(CF47=CF48,BD38=BD39),BH53,"kkk"),"kkk")</f>
        <v>#VALUE!</v>
      </c>
      <c r="EK47" s="239" t="e">
        <f>IF(BD38&lt;&gt;"ùùù",IF(AND(CF47=CF49,BD38=BD40),BH51,"kkk"),"kkk")</f>
        <v>#VALUE!</v>
      </c>
      <c r="EL47" s="239" t="e">
        <f>IF(BD38&lt;&gt;"ùùù",IF(AND(CF47=CF50,BD38=BD41),BH49,"kkk"),"kkk")</f>
        <v>#VALUE!</v>
      </c>
      <c r="EM47" s="274"/>
      <c r="EN47" s="249" t="e">
        <f>SUM(EI47:EM47)</f>
        <v>#VALUE!</v>
      </c>
      <c r="EO47" s="237" t="s">
        <v>33</v>
      </c>
      <c r="EP47" s="273" t="s">
        <v>53</v>
      </c>
      <c r="EQ47" s="239" t="e">
        <f>IF(BD38&lt;&gt;"ùùù",IF(AND(CF47=CF48,BD38=BD39),BL53,"kkk"),"kkk")</f>
        <v>#VALUE!</v>
      </c>
      <c r="ER47" s="239" t="e">
        <f>IF(BD38&lt;&gt;"ùùù",IF(AND(CF47=CF49,BD38=BD40),BL51,"kkk"),"kkk")</f>
        <v>#VALUE!</v>
      </c>
      <c r="ES47" s="239" t="e">
        <f>IF(BD38&lt;&gt;"ùùù",IF(AND(CF47=CF50,BD38=BD41),BL49,"kkk"),"kkk")</f>
        <v>#VALUE!</v>
      </c>
      <c r="ET47" s="274"/>
      <c r="EU47" s="249" t="e">
        <f>SUM(EP47:ET47)</f>
        <v>#VALUE!</v>
      </c>
      <c r="EV47" s="237" t="s">
        <v>33</v>
      </c>
      <c r="EW47" s="273" t="s">
        <v>53</v>
      </c>
      <c r="EX47" s="239" t="e">
        <f>IF(AND(CF47=CF48,BC38=BC39),+AF53+AH53+AJ53+AL53+AN53,"xxx")</f>
        <v>#VALUE!</v>
      </c>
      <c r="EY47" s="239" t="e">
        <f>IF(AND(CF47=CF49,BC38=BC40),+AF51+AH51+AJ51+AL51+AN51,"xxx")</f>
        <v>#VALUE!</v>
      </c>
      <c r="EZ47" s="239" t="e">
        <f>IF(AND(CF47=CF50,BC38=BC41),+AF49+AH49+AJ49+AL49+AN49,"xxx")</f>
        <v>#VALUE!</v>
      </c>
      <c r="FA47" s="274"/>
      <c r="FB47" s="249" t="e">
        <f>SUM(EW47:FA47)</f>
        <v>#VALUE!</v>
      </c>
      <c r="FC47" s="237" t="s">
        <v>33</v>
      </c>
      <c r="FD47" s="273" t="s">
        <v>53</v>
      </c>
      <c r="FE47" s="239" t="e">
        <f>IF(AND(CF47=CF48,BC38=BC39),+AG53+AI53+AK53+AM53+AO53,"xxx")</f>
        <v>#VALUE!</v>
      </c>
      <c r="FF47" s="239" t="e">
        <f>IF(AND(CF47=CF49,BC38=BC40),+AG51+AI51+AK51+AM51+AO51,"xxx")</f>
        <v>#VALUE!</v>
      </c>
      <c r="FG47" s="239" t="e">
        <f>IF(AND(CF47=CF50,BC38=BC41),+AG49+AI49+AK49+AM49+AO49,"xxx")</f>
        <v>#VALUE!</v>
      </c>
      <c r="FH47" s="274"/>
      <c r="FI47" s="249" t="e">
        <f>SUM(FD47:FH47)</f>
        <v>#VALUE!</v>
      </c>
      <c r="FJ47" s="264"/>
      <c r="FK47" s="264"/>
      <c r="FL47" s="264"/>
      <c r="FM47" s="264"/>
    </row>
    <row r="48" spans="1:169" ht="27.95" customHeight="1" x14ac:dyDescent="0.2">
      <c r="A48" s="542">
        <v>2</v>
      </c>
      <c r="B48" s="543" t="s">
        <v>13</v>
      </c>
      <c r="C48" s="544">
        <v>4</v>
      </c>
      <c r="D48" s="545"/>
      <c r="E48" s="546">
        <f>E47+0.021</f>
        <v>6.3E-2</v>
      </c>
      <c r="F48" s="547">
        <f>F45</f>
        <v>0</v>
      </c>
      <c r="G48" s="817" t="str">
        <f t="shared" si="24"/>
        <v>LAIR Enzo</v>
      </c>
      <c r="H48" s="818"/>
      <c r="I48" s="818"/>
      <c r="J48" s="818"/>
      <c r="K48" s="818"/>
      <c r="L48" s="548" t="s">
        <v>9</v>
      </c>
      <c r="M48" s="818" t="str">
        <f t="shared" si="25"/>
        <v>LECOMTE Erwan</v>
      </c>
      <c r="N48" s="818"/>
      <c r="O48" s="818"/>
      <c r="P48" s="818"/>
      <c r="Q48" s="823"/>
      <c r="R48" s="590"/>
      <c r="S48" s="591"/>
      <c r="T48" s="591"/>
      <c r="U48" s="551"/>
      <c r="V48" s="551"/>
      <c r="W48" s="538"/>
      <c r="X48" s="553"/>
      <c r="Y48" s="554" t="str">
        <f>IF(AND(COUNTIF(($R48:$V48),"&gt;0")&gt;=2),1,IF(AND(COUNTIF(($R48:$V48),"&lt;0")&gt;=2),0,blanc))</f>
        <v xml:space="preserve"> </v>
      </c>
      <c r="Z48" s="558"/>
      <c r="AA48" s="559" t="str">
        <f>IF(AND(Y48=0),1,IF(AND(Y48=1),0,blanc))</f>
        <v xml:space="preserve"> </v>
      </c>
      <c r="AC48" s="896" t="s">
        <v>47</v>
      </c>
      <c r="AD48" s="897"/>
      <c r="AE48" s="341" t="s">
        <v>48</v>
      </c>
      <c r="AF48" s="342" t="s">
        <v>49</v>
      </c>
      <c r="AG48" s="239" t="s">
        <v>50</v>
      </c>
      <c r="AH48" s="239" t="s">
        <v>49</v>
      </c>
      <c r="AI48" s="239" t="s">
        <v>50</v>
      </c>
      <c r="AJ48" s="239" t="s">
        <v>49</v>
      </c>
      <c r="AK48" s="239" t="s">
        <v>50</v>
      </c>
      <c r="AL48" s="239" t="s">
        <v>49</v>
      </c>
      <c r="AM48" s="239" t="s">
        <v>50</v>
      </c>
      <c r="AN48" s="239" t="s">
        <v>49</v>
      </c>
      <c r="AO48" s="239" t="s">
        <v>50</v>
      </c>
      <c r="AP48" s="279" t="s">
        <v>33</v>
      </c>
      <c r="AQ48" s="239" t="s">
        <v>35</v>
      </c>
      <c r="AR48" s="239" t="s">
        <v>36</v>
      </c>
      <c r="AS48" s="239" t="s">
        <v>61</v>
      </c>
      <c r="AT48" s="280"/>
      <c r="AU48" s="252"/>
      <c r="AV48" s="247"/>
      <c r="AW48" s="247"/>
      <c r="AX48" s="247"/>
      <c r="AY48" s="281" t="s">
        <v>33</v>
      </c>
      <c r="AZ48" s="239" t="s">
        <v>35</v>
      </c>
      <c r="BA48" s="239" t="s">
        <v>36</v>
      </c>
      <c r="BB48" s="239" t="s">
        <v>61</v>
      </c>
      <c r="BC48" s="239">
        <v>1</v>
      </c>
      <c r="BD48" s="239">
        <v>2</v>
      </c>
      <c r="BE48" s="239">
        <v>3</v>
      </c>
      <c r="BF48" s="239">
        <v>4</v>
      </c>
      <c r="BG48" s="239">
        <v>5</v>
      </c>
      <c r="BH48" s="239" t="s">
        <v>40</v>
      </c>
      <c r="BI48" s="239" t="s">
        <v>51</v>
      </c>
      <c r="BJ48" s="239"/>
      <c r="BK48" s="239"/>
      <c r="BL48" s="239" t="s">
        <v>70</v>
      </c>
      <c r="BM48" s="239" t="s">
        <v>40</v>
      </c>
      <c r="BN48" s="239"/>
      <c r="BO48" s="282"/>
      <c r="BQ48" s="268"/>
      <c r="BR48" s="248"/>
      <c r="BS48" s="237" t="str">
        <f>AE39</f>
        <v>B</v>
      </c>
      <c r="BT48" s="237" t="e">
        <f>BW47</f>
        <v>#VALUE!</v>
      </c>
      <c r="BU48" s="237" t="str">
        <f>BV47</f>
        <v>M</v>
      </c>
      <c r="BV48" s="269"/>
      <c r="BW48" s="269"/>
      <c r="BX48" s="237" t="str">
        <f>BH50</f>
        <v>M</v>
      </c>
      <c r="BY48" s="237" t="e">
        <f>BL50</f>
        <v>#VALUE!</v>
      </c>
      <c r="BZ48" s="237" t="str">
        <f>BH52</f>
        <v>M</v>
      </c>
      <c r="CA48" s="270" t="e">
        <f>BL52</f>
        <v>#VALUE!</v>
      </c>
      <c r="CB48" s="248"/>
      <c r="CC48" s="248"/>
      <c r="CD48" s="271"/>
      <c r="CE48" s="271"/>
      <c r="CF48" s="249" t="e">
        <f t="shared" si="26"/>
        <v>#VALUE!</v>
      </c>
      <c r="CG48" s="242" t="e">
        <f t="shared" si="27"/>
        <v>#VALUE!</v>
      </c>
      <c r="CH48" s="237" t="e">
        <f>IF(BT48&gt;BU48,1,0)</f>
        <v>#VALUE!</v>
      </c>
      <c r="CI48" s="237" t="e">
        <f>IF(BX48&gt;BY48,1,0)</f>
        <v>#VALUE!</v>
      </c>
      <c r="CJ48" s="237" t="e">
        <f>IF(BZ48&gt;CA48,1,0)</f>
        <v>#VALUE!</v>
      </c>
      <c r="CK48" s="237">
        <f>IF(CB48&gt;CC48,1,0)</f>
        <v>0</v>
      </c>
      <c r="CL48" s="237">
        <f>IF(CD48&gt;CE48,1,0)</f>
        <v>0</v>
      </c>
      <c r="CM48" s="272" t="e">
        <f>IF(BT48&lt;BU48,1,0)</f>
        <v>#VALUE!</v>
      </c>
      <c r="CN48" s="237" t="e">
        <f>IF(BX48&lt;BY48,1,0)</f>
        <v>#VALUE!</v>
      </c>
      <c r="CO48" s="237" t="e">
        <f>IF(BZ48&lt;CA48,1,0)</f>
        <v>#VALUE!</v>
      </c>
      <c r="CP48" s="237">
        <f>IF(CB48&lt;CC48,1,0)</f>
        <v>0</v>
      </c>
      <c r="CQ48" s="237">
        <f>IF(CD48&lt;CE48,1,0)</f>
        <v>0</v>
      </c>
      <c r="CR48" s="237" t="s">
        <v>35</v>
      </c>
      <c r="CS48" s="239" t="e">
        <f>IF(CF48=CF47,AZ53,"xxx")</f>
        <v>#VALUE!</v>
      </c>
      <c r="CT48" s="273" t="s">
        <v>53</v>
      </c>
      <c r="CU48" s="239" t="e">
        <f>IF(CF48=CF49,AZ50,"xxx")</f>
        <v>#VALUE!</v>
      </c>
      <c r="CV48" s="239" t="e">
        <f>IF(CF48=CF50,AZ52,"xxx")</f>
        <v>#VALUE!</v>
      </c>
      <c r="CW48" s="274"/>
      <c r="CX48" s="249" t="e">
        <f>SUM(CS48:CW48)</f>
        <v>#VALUE!</v>
      </c>
      <c r="CY48" s="237" t="s">
        <v>35</v>
      </c>
      <c r="CZ48" s="239" t="e">
        <f>IF(CF48=CF47,AY53,"xxx")</f>
        <v>#VALUE!</v>
      </c>
      <c r="DA48" s="273" t="s">
        <v>53</v>
      </c>
      <c r="DB48" s="239" t="e">
        <f>IF(CF48=CF49,BA50,"xxx")</f>
        <v>#VALUE!</v>
      </c>
      <c r="DC48" s="239" t="e">
        <f>IF(CF48=CF50,BB52,"xxx")</f>
        <v>#VALUE!</v>
      </c>
      <c r="DD48" s="274"/>
      <c r="DE48" s="249" t="e">
        <f>SUM(CZ48:DD48)</f>
        <v>#VALUE!</v>
      </c>
      <c r="DF48" s="237" t="s">
        <v>35</v>
      </c>
      <c r="DG48" s="239" t="e">
        <f>IF(AND(BA39&lt;&gt;0,AY39=AY38),IF(BA39=BA38,AZ53,"xxx"),"xxx")</f>
        <v>#VALUE!</v>
      </c>
      <c r="DH48" s="273" t="s">
        <v>53</v>
      </c>
      <c r="DI48" s="239" t="e">
        <f>IF(AND(BA39&lt;&gt;0,AY39=AY40),IF(BA39=BA40,AZ50,"xxx"),"xxx")</f>
        <v>#VALUE!</v>
      </c>
      <c r="DJ48" s="239" t="e">
        <f>IF(AND(BA39&lt;&gt;0,AY39=AY41),IF(BA39=BA41,AZ52,"xxx"),"xxx")</f>
        <v>#VALUE!</v>
      </c>
      <c r="DK48" s="274"/>
      <c r="DL48" s="249" t="e">
        <f>SUM(DG48:DK48)</f>
        <v>#VALUE!</v>
      </c>
      <c r="DM48" s="237" t="s">
        <v>35</v>
      </c>
      <c r="DN48" s="239" t="e">
        <f>IF(AND(BA39&lt;&gt;0,AY39=AY38),IF(BA39=BA38,AY53,"xxx"),"xxx")</f>
        <v>#VALUE!</v>
      </c>
      <c r="DO48" s="273" t="s">
        <v>53</v>
      </c>
      <c r="DP48" s="239" t="e">
        <f>IF(AND(BA39&lt;&gt;0,AY39=AY40),IF(BA39=BA40,BA50,"xxx"),"xxx")</f>
        <v>#VALUE!</v>
      </c>
      <c r="DQ48" s="239" t="e">
        <f>IF(AND(BA39&lt;&gt;0,AY39=AY41),IF(BA39=BA41,BB52,"xxx"),"xxx")</f>
        <v>#VALUE!</v>
      </c>
      <c r="DR48" s="274"/>
      <c r="DS48" s="249" t="e">
        <f>SUM(DN48:DR48)</f>
        <v>#VALUE!</v>
      </c>
      <c r="DT48" s="237" t="s">
        <v>35</v>
      </c>
      <c r="DU48" s="239" t="e">
        <f>IF(AND(CF48=CF47,BA39=BA38),BL53,"kkk")</f>
        <v>#VALUE!</v>
      </c>
      <c r="DV48" s="273" t="s">
        <v>53</v>
      </c>
      <c r="DW48" s="239" t="e">
        <f>IF(AND(CF48=CF49,BA39=BA40),BH50,"kkk")</f>
        <v>#VALUE!</v>
      </c>
      <c r="DX48" s="239" t="e">
        <f>IF(AND(CF48=CF50,BA39=BA41),BH52,"kkk")</f>
        <v>#VALUE!</v>
      </c>
      <c r="DY48" s="274"/>
      <c r="DZ48" s="249" t="e">
        <f>SUM(DU48:DY48)</f>
        <v>#VALUE!</v>
      </c>
      <c r="EA48" s="237" t="s">
        <v>35</v>
      </c>
      <c r="EB48" s="239" t="e">
        <f>IF(AND(CF48=CF47,BA39=BA38),BH53,"kkk")</f>
        <v>#VALUE!</v>
      </c>
      <c r="EC48" s="273" t="s">
        <v>53</v>
      </c>
      <c r="ED48" s="239" t="e">
        <f>IF(AND(CF48=CF49,BA39=BA40),BL50,"kkk")</f>
        <v>#VALUE!</v>
      </c>
      <c r="EE48" s="239" t="e">
        <f>IF(AND(CF48=CF50,BA39=BA41),BL52,"kkk")</f>
        <v>#VALUE!</v>
      </c>
      <c r="EF48" s="274"/>
      <c r="EG48" s="249" t="e">
        <f>SUM(EB48:EF48)</f>
        <v>#VALUE!</v>
      </c>
      <c r="EH48" s="237" t="s">
        <v>35</v>
      </c>
      <c r="EI48" s="239" t="e">
        <f>IF(BD39&lt;&gt;"ùùù",IF(AND(CF48=CF47,BD39=BD38),BL53,"kkk"),"kkk")</f>
        <v>#VALUE!</v>
      </c>
      <c r="EJ48" s="273" t="s">
        <v>53</v>
      </c>
      <c r="EK48" s="239" t="e">
        <f>IF(BD39&lt;&gt;"ùùù",IF(AND(CF48=CF49,BD39=BD40),BH50,"kkk"),"kkk")</f>
        <v>#VALUE!</v>
      </c>
      <c r="EL48" s="239" t="e">
        <f>IF(BD39&lt;&gt;"ùùù",IF(AND(CF48=CF50,BD39=BD41),BH52,"kkk"),"kkk")</f>
        <v>#VALUE!</v>
      </c>
      <c r="EM48" s="274"/>
      <c r="EN48" s="249" t="e">
        <f>SUM(EI48:EM48)</f>
        <v>#VALUE!</v>
      </c>
      <c r="EO48" s="237" t="s">
        <v>35</v>
      </c>
      <c r="EP48" s="239" t="e">
        <f>IF(BD39&lt;&gt;"ùùù",IF(AND(CF48=CF47,BD39=BD38),BH53,"kkk"),"kkk")</f>
        <v>#VALUE!</v>
      </c>
      <c r="EQ48" s="273" t="s">
        <v>53</v>
      </c>
      <c r="ER48" s="239" t="e">
        <f>IF(BD39&lt;&gt;"ùùù",IF(AND(CF48=CF49,BD39=BD40),BL50,"kkk"),"kkk")</f>
        <v>#VALUE!</v>
      </c>
      <c r="ES48" s="239" t="e">
        <f>IF(BD39&lt;&gt;"ùùù",IF(AND(CF48=CF50,BD39=BD41),BL52,"kkk"),"kkk")</f>
        <v>#VALUE!</v>
      </c>
      <c r="ET48" s="274"/>
      <c r="EU48" s="249" t="e">
        <f>SUM(EP48:ET48)</f>
        <v>#VALUE!</v>
      </c>
      <c r="EV48" s="237" t="s">
        <v>35</v>
      </c>
      <c r="EW48" s="239" t="e">
        <f>IF(AND(CF48=CF47,BC39=BC38),+AG53+AI53+AK53+AM53+AO53,"xxx")</f>
        <v>#VALUE!</v>
      </c>
      <c r="EX48" s="273" t="s">
        <v>53</v>
      </c>
      <c r="EY48" s="239" t="e">
        <f>IF(AND(CF48=CF49,BC39=BC40),+AF50+AH50+AJ50+AL50+AN50,"xxx")</f>
        <v>#VALUE!</v>
      </c>
      <c r="EZ48" s="239" t="e">
        <f>IF(AND(CF48=CF50,BC39=BC41),+AF52+AH52+AJ52+AL52+AN52,"xxx")</f>
        <v>#VALUE!</v>
      </c>
      <c r="FA48" s="274"/>
      <c r="FB48" s="249" t="e">
        <f>SUM(EW48:FA48)</f>
        <v>#VALUE!</v>
      </c>
      <c r="FC48" s="237" t="s">
        <v>35</v>
      </c>
      <c r="FD48" s="239" t="e">
        <f>IF(AND(CF48=CF47,BC39=BC38),+AF53+AH53+AJ53+AL53+AN53,"xxx")</f>
        <v>#VALUE!</v>
      </c>
      <c r="FE48" s="273" t="s">
        <v>53</v>
      </c>
      <c r="FF48" s="239" t="e">
        <f>IF(AND(CF48=CF49,BC39=BC40),+AG50+AI50+AK50+AM50+AO50,"xxx")</f>
        <v>#VALUE!</v>
      </c>
      <c r="FG48" s="239" t="e">
        <f>IF(AND(CF48=CF50,BC39=BC41),+AG52+AI52+AK52+AM52+AO52,"xxx")</f>
        <v>#VALUE!</v>
      </c>
      <c r="FH48" s="274"/>
      <c r="FI48" s="249" t="e">
        <f>SUM(FD48:FH48)</f>
        <v>#VALUE!</v>
      </c>
      <c r="FJ48" s="247"/>
      <c r="FK48" s="247"/>
      <c r="FL48" s="247"/>
      <c r="FM48" s="247"/>
    </row>
    <row r="49" spans="1:169" ht="27.95" customHeight="1" x14ac:dyDescent="0.2">
      <c r="A49" s="542">
        <v>1</v>
      </c>
      <c r="B49" s="543" t="s">
        <v>13</v>
      </c>
      <c r="C49" s="544">
        <v>2</v>
      </c>
      <c r="D49" s="545" t="str">
        <f>D45</f>
        <v>Sa</v>
      </c>
      <c r="E49" s="546">
        <f>E48+0.021</f>
        <v>8.4000000000000005E-2</v>
      </c>
      <c r="F49" s="547">
        <f>F45</f>
        <v>0</v>
      </c>
      <c r="G49" s="817" t="str">
        <f t="shared" si="24"/>
        <v>JUHEL Ethan</v>
      </c>
      <c r="H49" s="818"/>
      <c r="I49" s="818"/>
      <c r="J49" s="818"/>
      <c r="K49" s="818"/>
      <c r="L49" s="548" t="s">
        <v>9</v>
      </c>
      <c r="M49" s="818" t="str">
        <f t="shared" si="25"/>
        <v>LAIR Enzo</v>
      </c>
      <c r="N49" s="818"/>
      <c r="O49" s="818"/>
      <c r="P49" s="818"/>
      <c r="Q49" s="823"/>
      <c r="R49" s="556"/>
      <c r="S49" s="551"/>
      <c r="T49" s="551"/>
      <c r="U49" s="551"/>
      <c r="V49" s="551"/>
      <c r="W49" s="538"/>
      <c r="X49" s="557" t="str">
        <f>IF(AND(COUNTIF(($R49:$V49),"&gt;0")&gt;=2),1,IF(AND(COUNTIF(($R49:$V49),"&lt;0")&gt;=2),0,blanc))</f>
        <v xml:space="preserve"> </v>
      </c>
      <c r="Y49" s="554" t="str">
        <f>IF(AND(X49=0),1,IF(AND(X49=1),0,blanc))</f>
        <v xml:space="preserve"> </v>
      </c>
      <c r="Z49" s="558"/>
      <c r="AA49" s="555"/>
      <c r="AC49" s="283">
        <f>IF(AF38&lt;&gt;" ",AF38," ")</f>
        <v>1</v>
      </c>
      <c r="AD49" s="284">
        <f>IF(AF41&lt;&gt;" ",AF41," ")</f>
        <v>4</v>
      </c>
      <c r="AE49" s="285" t="str">
        <f t="shared" ref="AE49:AE54" si="28">IF(AK49&lt;&gt;0,IF(BI49&lt;0,AD49,AC49),IF(BI49=2,AC49,IF(BI49=-2,AD49," ")))</f>
        <v xml:space="preserve"> </v>
      </c>
      <c r="AF49" s="286">
        <f t="shared" ref="AF49:AF54" si="29">IF(R45=0,0,IF(R45&lt;0,-R45,IF(R45&lt;10,11,R45+2)))</f>
        <v>0</v>
      </c>
      <c r="AG49" s="287">
        <f t="shared" ref="AG49:AG54" si="30">IF(R45=0,0,IF(R45&gt;0,R45,IF(R45&gt;-10,11,-R45+2)))</f>
        <v>0</v>
      </c>
      <c r="AH49" s="284">
        <f t="shared" ref="AH49:AH54" si="31">IF(S45=0,0,IF(S45&lt;0,-S45,IF(S45&lt;10,11,S45+2)))</f>
        <v>0</v>
      </c>
      <c r="AI49" s="287">
        <f t="shared" ref="AI49:AI54" si="32">IF(S45=0,0,IF(S45&gt;0,S45,IF(S45&gt;-10,11,-S45+2)))</f>
        <v>0</v>
      </c>
      <c r="AJ49" s="288">
        <f t="shared" ref="AJ49:AJ54" si="33">IF(T45=0,0,IF(T45&lt;0,-T45,IF(T45&lt;10,11,T45+2)))</f>
        <v>0</v>
      </c>
      <c r="AK49" s="287">
        <f t="shared" ref="AK49:AK54" si="34">IF(T45=0,0,IF(T45&gt;0,T45,IF(T45&gt;-10,11,-T45+2)))</f>
        <v>0</v>
      </c>
      <c r="AL49" s="288">
        <f t="shared" ref="AL49:AL54" si="35">IF(U45=0,0,IF(U45&lt;0,-U45,IF(U45&lt;10,11,U45+2)))</f>
        <v>0</v>
      </c>
      <c r="AM49" s="287">
        <f t="shared" ref="AM49:AM54" si="36">IF(U45=0,0,IF(U45&gt;0,U45,IF(U45&gt;-10,11,-U45+2)))</f>
        <v>0</v>
      </c>
      <c r="AN49" s="288">
        <f t="shared" ref="AN49:AN54" si="37">IF(V45=0,0,IF(V45&lt;0,-V45,IF(V45&lt;10,11,V45+2)))</f>
        <v>0</v>
      </c>
      <c r="AO49" s="289">
        <f t="shared" ref="AO49:AO54" si="38">IF(V45=0,0,IF(V45&gt;0,V45,IF(V45&gt;-10,11,-V45+2)))</f>
        <v>0</v>
      </c>
      <c r="AP49" s="290">
        <f>IF(BI49&gt;0,1,0)</f>
        <v>0</v>
      </c>
      <c r="AR49" s="291"/>
      <c r="AS49" s="290">
        <f>IF(BI49&lt;0,1,0)</f>
        <v>0</v>
      </c>
      <c r="AT49" s="292"/>
      <c r="AU49" s="252"/>
      <c r="AV49" s="236"/>
      <c r="AW49" s="236"/>
      <c r="AX49" s="236"/>
      <c r="AY49" s="293">
        <f>IF(BI49&gt;0,1,0)</f>
        <v>0</v>
      </c>
      <c r="BA49" s="294"/>
      <c r="BB49" s="295">
        <f>IF(BI49&lt;0,1,0)</f>
        <v>0</v>
      </c>
      <c r="BC49" s="296">
        <f t="shared" ref="BC49:BC54" si="39">IF(AF49&lt;&gt;0,IF(AF49&gt;AG49,1,-1),0)</f>
        <v>0</v>
      </c>
      <c r="BD49" s="296">
        <f t="shared" ref="BD49:BD54" si="40">IF(AH49&lt;&gt;0,IF(AH49&gt;AI49,1,-1),0)</f>
        <v>0</v>
      </c>
      <c r="BE49" s="296">
        <f t="shared" ref="BE49:BE54" si="41">IF(AJ49&lt;&gt;0,IF(AJ49&gt;AK49,1,-1),0)</f>
        <v>0</v>
      </c>
      <c r="BF49" s="296">
        <f t="shared" ref="BF49:BF54" si="42">IF(AL49&lt;&gt;0,IF(AL49&gt;AM49,1,-1),0)</f>
        <v>0</v>
      </c>
      <c r="BG49" s="296">
        <f t="shared" ref="BG49:BG54" si="43">IF(AN49&lt;&gt;0,IF(AN49&gt;AO49,1,-1),0)</f>
        <v>0</v>
      </c>
      <c r="BH49" s="296" t="str">
        <f t="shared" ref="BH49:BH54" si="44">IF(BM49=0,"M",IF(BI49&gt;0,3,IF(BI49=0,"N",3+BI49)))</f>
        <v>M</v>
      </c>
      <c r="BI49" s="296">
        <f t="shared" ref="BI49:BI54" si="45">SUM(BC49:BG49)</f>
        <v>0</v>
      </c>
      <c r="BJ49" s="296"/>
      <c r="BK49" s="296"/>
      <c r="BL49" s="296" t="e">
        <f t="shared" ref="BL49:BL54" si="46">BM49-BH49</f>
        <v>#VALUE!</v>
      </c>
      <c r="BM49" s="296">
        <f t="shared" ref="BM49:BM54" si="47">ABS(BC49)+ABS(BD49)+ABS(BE49)+ABS(BF49)+ABS(BG49)</f>
        <v>0</v>
      </c>
      <c r="BN49" s="296"/>
      <c r="BO49" s="297"/>
      <c r="BQ49" s="268"/>
      <c r="BR49" s="248"/>
      <c r="BS49" s="237" t="str">
        <f>AE40</f>
        <v>C</v>
      </c>
      <c r="BT49" s="237" t="e">
        <f>BY47</f>
        <v>#VALUE!</v>
      </c>
      <c r="BU49" s="237" t="str">
        <f>BX47</f>
        <v>M</v>
      </c>
      <c r="BV49" s="237" t="e">
        <f>BY48</f>
        <v>#VALUE!</v>
      </c>
      <c r="BW49" s="237" t="str">
        <f>BX48</f>
        <v>M</v>
      </c>
      <c r="BX49" s="269"/>
      <c r="BY49" s="269"/>
      <c r="BZ49" s="237" t="str">
        <f>BH54</f>
        <v>M</v>
      </c>
      <c r="CA49" s="270" t="e">
        <f>BL54</f>
        <v>#VALUE!</v>
      </c>
      <c r="CB49" s="248"/>
      <c r="CC49" s="248"/>
      <c r="CD49" s="271"/>
      <c r="CE49" s="271"/>
      <c r="CF49" s="249" t="e">
        <f t="shared" si="26"/>
        <v>#VALUE!</v>
      </c>
      <c r="CG49" s="242" t="e">
        <f t="shared" si="27"/>
        <v>#VALUE!</v>
      </c>
      <c r="CH49" s="237" t="e">
        <f>IF(BT49&gt;BU49,1,0)</f>
        <v>#VALUE!</v>
      </c>
      <c r="CI49" s="237" t="e">
        <f>IF(BV49&gt;BW49,1,0)</f>
        <v>#VALUE!</v>
      </c>
      <c r="CJ49" s="237" t="e">
        <f>IF(BZ49&gt;CA49,1,0)</f>
        <v>#VALUE!</v>
      </c>
      <c r="CK49" s="237">
        <f>IF(CB49&gt;CC49,1,0)</f>
        <v>0</v>
      </c>
      <c r="CL49" s="237">
        <f>IF(CD49&gt;CE49,1,0)</f>
        <v>0</v>
      </c>
      <c r="CM49" s="272" t="e">
        <f>IF(BT49&lt;BU49,1,0)</f>
        <v>#VALUE!</v>
      </c>
      <c r="CN49" s="237" t="e">
        <f>IF(BV49&lt;BW49,1,0)</f>
        <v>#VALUE!</v>
      </c>
      <c r="CO49" s="237" t="e">
        <f>IF(BZ49&lt;CA49,1,0)</f>
        <v>#VALUE!</v>
      </c>
      <c r="CP49" s="237">
        <f>IF(CB49&lt;CC49,1,0)</f>
        <v>0</v>
      </c>
      <c r="CQ49" s="237">
        <f>IF(CD49&lt;CE49,1,0)</f>
        <v>0</v>
      </c>
      <c r="CR49" s="237" t="s">
        <v>36</v>
      </c>
      <c r="CS49" s="239" t="e">
        <f>IF(CF49=CF47,BA51,"xxx")</f>
        <v>#VALUE!</v>
      </c>
      <c r="CT49" s="239" t="e">
        <f>IF(CF49=CF48,BA50,"xxx")</f>
        <v>#VALUE!</v>
      </c>
      <c r="CU49" s="273" t="s">
        <v>53</v>
      </c>
      <c r="CV49" s="239" t="e">
        <f>IF(CF49=CF50,BA54,"xxx")</f>
        <v>#VALUE!</v>
      </c>
      <c r="CW49" s="274"/>
      <c r="CX49" s="249" t="e">
        <f>SUM(CS49:CW49)</f>
        <v>#VALUE!</v>
      </c>
      <c r="CY49" s="237" t="s">
        <v>36</v>
      </c>
      <c r="CZ49" s="239" t="e">
        <f>IF(CF49=CF47,AY51,"xxx")</f>
        <v>#VALUE!</v>
      </c>
      <c r="DA49" s="239" t="e">
        <f>IF(CF49=CF48,AZ50,"xxx")</f>
        <v>#VALUE!</v>
      </c>
      <c r="DB49" s="273" t="s">
        <v>53</v>
      </c>
      <c r="DC49" s="239" t="e">
        <f>IF(CF49=CF50,BB54,"xxx")</f>
        <v>#VALUE!</v>
      </c>
      <c r="DD49" s="274"/>
      <c r="DE49" s="249" t="e">
        <f>SUM(CZ49:DD49)</f>
        <v>#VALUE!</v>
      </c>
      <c r="DF49" s="237" t="s">
        <v>36</v>
      </c>
      <c r="DG49" s="239" t="e">
        <f>IF(AND(BA40&lt;&gt;0,AY40=AY38),IF(BA40=BA38,BA51,"xxx"),"xxx")</f>
        <v>#VALUE!</v>
      </c>
      <c r="DH49" s="239" t="e">
        <f>IF(AND(BA40&lt;&gt;0,AY40=AY39),IF(BA40=BA39,BA50,"xxx"),"xxx")</f>
        <v>#VALUE!</v>
      </c>
      <c r="DI49" s="273" t="s">
        <v>53</v>
      </c>
      <c r="DJ49" s="239" t="e">
        <f>IF(AND(BA40&lt;&gt;0,AY40=AY41),IF(BA40=BA41,BA54,"xxx"),"xxx")</f>
        <v>#VALUE!</v>
      </c>
      <c r="DK49" s="274"/>
      <c r="DL49" s="249" t="e">
        <f>SUM(DG49:DK49)</f>
        <v>#VALUE!</v>
      </c>
      <c r="DM49" s="237" t="s">
        <v>36</v>
      </c>
      <c r="DN49" s="239" t="e">
        <f>IF(AND(BA40&lt;&gt;0,AY40=AY38),IF(BA40=BA38,AY51,"xxx"),"xxx")</f>
        <v>#VALUE!</v>
      </c>
      <c r="DO49" s="239" t="e">
        <f>IF(AND(BA40&lt;&gt;0,AY40=AY39),IF(BA40=BA39,AZ50,"xxx"),"xxx")</f>
        <v>#VALUE!</v>
      </c>
      <c r="DP49" s="273" t="s">
        <v>53</v>
      </c>
      <c r="DQ49" s="239" t="e">
        <f>IF(AND(BA40&lt;&gt;0,AY40=AY41),IF(BA40=BA41,BB54,"xxx"),"xxx")</f>
        <v>#VALUE!</v>
      </c>
      <c r="DR49" s="274"/>
      <c r="DS49" s="249" t="e">
        <f>SUM(DN49:DR49)</f>
        <v>#VALUE!</v>
      </c>
      <c r="DT49" s="237" t="s">
        <v>36</v>
      </c>
      <c r="DU49" s="239" t="e">
        <f>IF(AND(CF49=CF47,BA40=BA38),BL51,"kkk")</f>
        <v>#VALUE!</v>
      </c>
      <c r="DV49" s="239" t="e">
        <f>IF(AND(CF49=CF48,BA40=BA39),BL50,"kkk")</f>
        <v>#VALUE!</v>
      </c>
      <c r="DW49" s="273" t="s">
        <v>53</v>
      </c>
      <c r="DX49" s="239" t="e">
        <f>IF(AND(CF49=CF50,BA40=BA41),BH54,"kkk")</f>
        <v>#VALUE!</v>
      </c>
      <c r="DY49" s="274"/>
      <c r="DZ49" s="249" t="e">
        <f>SUM(DU49:DY49)</f>
        <v>#VALUE!</v>
      </c>
      <c r="EA49" s="237" t="s">
        <v>36</v>
      </c>
      <c r="EB49" s="239" t="e">
        <f>IF(AND(CF49=CF47,BA40=BA38),BH51,"kkk")</f>
        <v>#VALUE!</v>
      </c>
      <c r="EC49" s="239" t="e">
        <f>IF(AND(CF49=CF48,BA40=BA39),BH50,"kkk")</f>
        <v>#VALUE!</v>
      </c>
      <c r="ED49" s="273" t="s">
        <v>53</v>
      </c>
      <c r="EE49" s="239" t="e">
        <f>IF(AND(CF49=CF50,BA40=BA41),BL54,"kkk")</f>
        <v>#VALUE!</v>
      </c>
      <c r="EF49" s="274"/>
      <c r="EG49" s="249" t="e">
        <f>SUM(EB49:EF49)</f>
        <v>#VALUE!</v>
      </c>
      <c r="EH49" s="237" t="s">
        <v>36</v>
      </c>
      <c r="EI49" s="239" t="e">
        <f>IF(BD40&lt;&gt;"ùùù",IF(AND(CF49=CF47,BD40=BD38),BL51,"kkk"),"kkk")</f>
        <v>#VALUE!</v>
      </c>
      <c r="EJ49" s="239" t="e">
        <f>IF(BD40&lt;&gt;"ùùù",IF(AND(CF49=CF48,BD40=BD39),BL50,"kkk"),"kkk")</f>
        <v>#VALUE!</v>
      </c>
      <c r="EK49" s="273" t="s">
        <v>53</v>
      </c>
      <c r="EL49" s="239" t="e">
        <f>IF(BD40&lt;&gt;"ùùù",IF(AND(CF49=CF50,BD40=BD41),BH54,"kkk"),"kkk")</f>
        <v>#VALUE!</v>
      </c>
      <c r="EM49" s="274"/>
      <c r="EN49" s="249" t="e">
        <f>SUM(EI49:EM49)</f>
        <v>#VALUE!</v>
      </c>
      <c r="EO49" s="237" t="s">
        <v>36</v>
      </c>
      <c r="EP49" s="239" t="e">
        <f>IF(BD40&lt;&gt;"ùùù",IF(AND(CF49=CF47,BD40=BD38),BH51,"kkk"),"kkk")</f>
        <v>#VALUE!</v>
      </c>
      <c r="EQ49" s="239" t="e">
        <f>IF(BD40&lt;&gt;"ùùù",IF(AND(CF49=CF48,BD40=BD39),BH50,"kkk"),"kkk")</f>
        <v>#VALUE!</v>
      </c>
      <c r="ER49" s="273" t="s">
        <v>53</v>
      </c>
      <c r="ES49" s="239" t="e">
        <f>IF(BD40&lt;&gt;"ùùù",IF(AND(CF49=CF50,BD40=BD41),BL54,"kkk"),"kkk")</f>
        <v>#VALUE!</v>
      </c>
      <c r="ET49" s="274"/>
      <c r="EU49" s="249" t="e">
        <f>SUM(EP49:ET49)</f>
        <v>#VALUE!</v>
      </c>
      <c r="EV49" s="237" t="s">
        <v>36</v>
      </c>
      <c r="EW49" s="239" t="e">
        <f>IF(AND(CF49=CF47,BC40=BC38),+AG51+AI51+AK51+AM51+AO51,"xxx")</f>
        <v>#VALUE!</v>
      </c>
      <c r="EX49" s="239" t="e">
        <f>IF(AND(CF49=CF48,BC40=BC39),+AG50+AI50+AK50+AM50+AO50,"xxx")</f>
        <v>#VALUE!</v>
      </c>
      <c r="EY49" s="273" t="s">
        <v>53</v>
      </c>
      <c r="EZ49" s="239" t="e">
        <f>IF(AND(CF49=CF50,BC40=BC41),+AF54+AH54+AJ54+AL54+AN54,"xxx")</f>
        <v>#VALUE!</v>
      </c>
      <c r="FA49" s="274"/>
      <c r="FB49" s="249" t="e">
        <f>SUM(EW49:FA49)</f>
        <v>#VALUE!</v>
      </c>
      <c r="FC49" s="237" t="s">
        <v>36</v>
      </c>
      <c r="FD49" s="239" t="e">
        <f>IF(AND(CF49=CF47,BC40=BC38),+AF51+AH51+AJ51+AL51+AN51,"xxx")</f>
        <v>#VALUE!</v>
      </c>
      <c r="FE49" s="239" t="e">
        <f>IF(AND(CF49=CF48,BC40=BC39),+AF50+AH50+AJ50+AL50+AN50,"xxx")</f>
        <v>#VALUE!</v>
      </c>
      <c r="FF49" s="273" t="s">
        <v>53</v>
      </c>
      <c r="FG49" s="239" t="e">
        <f>IF(AND(CF49=CF50,BC40=BC41),+AG54+AI54+AK54+AM54+AO54,"xxx")</f>
        <v>#VALUE!</v>
      </c>
      <c r="FH49" s="274"/>
      <c r="FI49" s="249" t="e">
        <f>SUM(FD49:FH49)</f>
        <v>#VALUE!</v>
      </c>
      <c r="FJ49" s="236"/>
      <c r="FK49" s="236"/>
      <c r="FL49" s="236"/>
      <c r="FM49" s="236"/>
    </row>
    <row r="50" spans="1:169" ht="27.95" customHeight="1" thickBot="1" x14ac:dyDescent="0.25">
      <c r="A50" s="525">
        <v>3</v>
      </c>
      <c r="B50" s="560" t="s">
        <v>13</v>
      </c>
      <c r="C50" s="561">
        <v>4</v>
      </c>
      <c r="D50" s="562"/>
      <c r="E50" s="563">
        <f>E49+0.0205</f>
        <v>0.10450000000000001</v>
      </c>
      <c r="F50" s="564">
        <f>F45</f>
        <v>0</v>
      </c>
      <c r="G50" s="819" t="str">
        <f t="shared" si="24"/>
        <v>BERGE LEPARC Nolann</v>
      </c>
      <c r="H50" s="820"/>
      <c r="I50" s="820"/>
      <c r="J50" s="820"/>
      <c r="K50" s="820"/>
      <c r="L50" s="517" t="s">
        <v>9</v>
      </c>
      <c r="M50" s="820" t="str">
        <f t="shared" si="25"/>
        <v>LECOMTE Erwan</v>
      </c>
      <c r="N50" s="820"/>
      <c r="O50" s="820"/>
      <c r="P50" s="820"/>
      <c r="Q50" s="824"/>
      <c r="R50" s="592"/>
      <c r="S50" s="593"/>
      <c r="T50" s="593"/>
      <c r="U50" s="594"/>
      <c r="V50" s="594"/>
      <c r="W50" s="538"/>
      <c r="X50" s="568"/>
      <c r="Y50" s="569"/>
      <c r="Z50" s="570" t="str">
        <f>IF(AND(COUNTIF(($R50:$V50),"&gt;0")&gt;=2),1,IF(AND(COUNTIF(($R50:$V50),"&lt;0")&gt;=2),0,blanc))</f>
        <v xml:space="preserve"> </v>
      </c>
      <c r="AA50" s="571" t="str">
        <f>IF(AND(Z50=0),1,IF(AND(Z50=1),0,blanc))</f>
        <v xml:space="preserve"> </v>
      </c>
      <c r="AC50" s="298">
        <f>IF(AF39&lt;&gt;" ",AF39," ")</f>
        <v>2</v>
      </c>
      <c r="AD50" s="299">
        <f>IF(AF40&lt;&gt;" ",AF40," ")</f>
        <v>3</v>
      </c>
      <c r="AE50" s="300" t="str">
        <f t="shared" si="28"/>
        <v xml:space="preserve"> </v>
      </c>
      <c r="AF50" s="286">
        <f t="shared" si="29"/>
        <v>0</v>
      </c>
      <c r="AG50" s="287">
        <f t="shared" si="30"/>
        <v>0</v>
      </c>
      <c r="AH50" s="284">
        <f t="shared" si="31"/>
        <v>0</v>
      </c>
      <c r="AI50" s="287">
        <f t="shared" si="32"/>
        <v>0</v>
      </c>
      <c r="AJ50" s="288">
        <f t="shared" si="33"/>
        <v>0</v>
      </c>
      <c r="AK50" s="287">
        <f t="shared" si="34"/>
        <v>0</v>
      </c>
      <c r="AL50" s="288">
        <f t="shared" si="35"/>
        <v>0</v>
      </c>
      <c r="AM50" s="287">
        <f t="shared" si="36"/>
        <v>0</v>
      </c>
      <c r="AN50" s="288">
        <f t="shared" si="37"/>
        <v>0</v>
      </c>
      <c r="AO50" s="289">
        <f t="shared" si="38"/>
        <v>0</v>
      </c>
      <c r="AP50" s="301"/>
      <c r="AQ50" s="302">
        <f>IF(BI50&gt;0,1,0)</f>
        <v>0</v>
      </c>
      <c r="AR50" s="302">
        <f>IF(BI50&lt;0,1,0)</f>
        <v>0</v>
      </c>
      <c r="AT50" s="303"/>
      <c r="AU50" s="252"/>
      <c r="AV50" s="236"/>
      <c r="AW50" s="236"/>
      <c r="AX50" s="236"/>
      <c r="AY50" s="304"/>
      <c r="AZ50" s="305">
        <f>IF(BI50&gt;0,1,0)</f>
        <v>0</v>
      </c>
      <c r="BA50" s="305">
        <f>IF(BI50&lt;0,1,0)</f>
        <v>0</v>
      </c>
      <c r="BB50" s="306"/>
      <c r="BC50" s="239">
        <f t="shared" si="39"/>
        <v>0</v>
      </c>
      <c r="BD50" s="239">
        <f t="shared" si="40"/>
        <v>0</v>
      </c>
      <c r="BE50" s="239">
        <f t="shared" si="41"/>
        <v>0</v>
      </c>
      <c r="BF50" s="239">
        <f t="shared" si="42"/>
        <v>0</v>
      </c>
      <c r="BG50" s="239">
        <f t="shared" si="43"/>
        <v>0</v>
      </c>
      <c r="BH50" s="239" t="str">
        <f t="shared" si="44"/>
        <v>M</v>
      </c>
      <c r="BI50" s="239">
        <f t="shared" si="45"/>
        <v>0</v>
      </c>
      <c r="BJ50" s="239"/>
      <c r="BK50" s="239"/>
      <c r="BL50" s="239" t="e">
        <f t="shared" si="46"/>
        <v>#VALUE!</v>
      </c>
      <c r="BM50" s="239">
        <f t="shared" si="47"/>
        <v>0</v>
      </c>
      <c r="BN50" s="239"/>
      <c r="BO50" s="282"/>
      <c r="BQ50" s="268"/>
      <c r="BR50" s="248"/>
      <c r="BS50" s="237" t="str">
        <f>AE41</f>
        <v>D</v>
      </c>
      <c r="BT50" s="237" t="e">
        <f>CA47</f>
        <v>#VALUE!</v>
      </c>
      <c r="BU50" s="237" t="str">
        <f>BZ47</f>
        <v>M</v>
      </c>
      <c r="BV50" s="237" t="e">
        <f>CA48</f>
        <v>#VALUE!</v>
      </c>
      <c r="BW50" s="237" t="str">
        <f>BZ48</f>
        <v>M</v>
      </c>
      <c r="BX50" s="237" t="e">
        <f>CA49</f>
        <v>#VALUE!</v>
      </c>
      <c r="BY50" s="237" t="str">
        <f>BZ49</f>
        <v>M</v>
      </c>
      <c r="BZ50" s="269"/>
      <c r="CA50" s="307"/>
      <c r="CB50" s="248"/>
      <c r="CC50" s="248"/>
      <c r="CD50" s="271"/>
      <c r="CE50" s="271"/>
      <c r="CF50" s="249" t="e">
        <f t="shared" si="26"/>
        <v>#VALUE!</v>
      </c>
      <c r="CG50" s="242" t="e">
        <f t="shared" si="27"/>
        <v>#VALUE!</v>
      </c>
      <c r="CH50" s="308" t="e">
        <f>IF(BT50&gt;BU50,1,0)</f>
        <v>#VALUE!</v>
      </c>
      <c r="CI50" s="308" t="e">
        <f>IF(BV50&gt;BW50,1,0)</f>
        <v>#VALUE!</v>
      </c>
      <c r="CJ50" s="308" t="e">
        <f>IF(BX50&gt;BY50,1,0)</f>
        <v>#VALUE!</v>
      </c>
      <c r="CK50" s="308">
        <f>IF(CB50&gt;CC50,1,0)</f>
        <v>0</v>
      </c>
      <c r="CL50" s="308">
        <f>IF(CD50&gt;CE50,1,0)</f>
        <v>0</v>
      </c>
      <c r="CM50" s="309" t="e">
        <f>IF(BT50&lt;BU50,1,0)</f>
        <v>#VALUE!</v>
      </c>
      <c r="CN50" s="308" t="e">
        <f>IF(BV50&lt;BW50,1,0)</f>
        <v>#VALUE!</v>
      </c>
      <c r="CO50" s="308" t="e">
        <f>IF(BX50&lt;BY50,1,0)</f>
        <v>#VALUE!</v>
      </c>
      <c r="CP50" s="308">
        <f>IF(CB50&lt;CC50,1,0)</f>
        <v>0</v>
      </c>
      <c r="CQ50" s="308">
        <f>IF(CD50&lt;CE50,1,0)</f>
        <v>0</v>
      </c>
      <c r="CR50" s="308" t="s">
        <v>61</v>
      </c>
      <c r="CS50" s="277" t="e">
        <f>IF(CF50=CF47,BB49,"xxx")</f>
        <v>#VALUE!</v>
      </c>
      <c r="CT50" s="277" t="e">
        <f>IF(CF50=CF48,BB52,"xxx")</f>
        <v>#VALUE!</v>
      </c>
      <c r="CU50" s="277" t="e">
        <f>IF(CF50=CF49,BB54,"xxx")</f>
        <v>#VALUE!</v>
      </c>
      <c r="CV50" s="310" t="s">
        <v>53</v>
      </c>
      <c r="CW50" s="311"/>
      <c r="CX50" s="249" t="e">
        <f>SUM(CS50:CW50)</f>
        <v>#VALUE!</v>
      </c>
      <c r="CY50" s="308" t="s">
        <v>61</v>
      </c>
      <c r="CZ50" s="277" t="e">
        <f>IF(CF50=CF47,AY49,"xxx")</f>
        <v>#VALUE!</v>
      </c>
      <c r="DA50" s="277" t="e">
        <f>IF(CF50=CF48,AZ52,"xxx")</f>
        <v>#VALUE!</v>
      </c>
      <c r="DB50" s="277" t="e">
        <f>IF(CF50=CF49,BA54,"xxx")</f>
        <v>#VALUE!</v>
      </c>
      <c r="DC50" s="310" t="s">
        <v>53</v>
      </c>
      <c r="DD50" s="311"/>
      <c r="DE50" s="312" t="e">
        <f>SUM(CZ50:DD50)</f>
        <v>#VALUE!</v>
      </c>
      <c r="DF50" s="308" t="s">
        <v>61</v>
      </c>
      <c r="DG50" s="277" t="e">
        <f>IF(AND(BA41&lt;&gt;0,AY41=AY38),IF(BA41=BA38,BB49,"xxx"),"xxx")</f>
        <v>#VALUE!</v>
      </c>
      <c r="DH50" s="277" t="e">
        <f>IF(AND(BA41&lt;&gt;0,AY41=AY39),IF(BA41=BA39,BB52,"xxx"),"xxx")</f>
        <v>#VALUE!</v>
      </c>
      <c r="DI50" s="277" t="e">
        <f>IF(AND(BA41&lt;&gt;0,AY41=AY40),IF(BA41=BA40,BB54,"xxx"),"xxx")</f>
        <v>#VALUE!</v>
      </c>
      <c r="DJ50" s="310" t="s">
        <v>53</v>
      </c>
      <c r="DK50" s="311"/>
      <c r="DL50" s="249" t="e">
        <f>SUM(DG50:DK50)</f>
        <v>#VALUE!</v>
      </c>
      <c r="DM50" s="308" t="s">
        <v>61</v>
      </c>
      <c r="DN50" s="277" t="e">
        <f>IF(AND(BA41&lt;&gt;0,AY41=AY38),IF(BA41=BA38,AY49,"xxx"),"xxx")</f>
        <v>#VALUE!</v>
      </c>
      <c r="DO50" s="277" t="e">
        <f>IF(AND(BA41&lt;&gt;0,AY41=AY39),IF(BA41=BA39,AZ52,"xxx"),"xxx")</f>
        <v>#VALUE!</v>
      </c>
      <c r="DP50" s="277" t="e">
        <f>IF(AND(BA41&lt;&gt;0,AY41=AY40),IF(BA41=BA40,BA54,"xxx"),"xxx")</f>
        <v>#VALUE!</v>
      </c>
      <c r="DQ50" s="310" t="s">
        <v>53</v>
      </c>
      <c r="DR50" s="311"/>
      <c r="DS50" s="249" t="e">
        <f>SUM(DN50:DR50)</f>
        <v>#VALUE!</v>
      </c>
      <c r="DT50" s="308" t="s">
        <v>61</v>
      </c>
      <c r="DU50" s="277" t="e">
        <f>IF(AND(CF50=CF47,BA41=BA38),BL49,"kkk")</f>
        <v>#VALUE!</v>
      </c>
      <c r="DV50" s="277" t="e">
        <f>IF(AND(CF50=CF48,BA41=BA39),BL52,"kkk")</f>
        <v>#VALUE!</v>
      </c>
      <c r="DW50" s="277" t="e">
        <f>IF(AND(CF50=CF49,BA41=BA40),BL54,"kkk")</f>
        <v>#VALUE!</v>
      </c>
      <c r="DX50" s="310" t="s">
        <v>53</v>
      </c>
      <c r="DY50" s="311"/>
      <c r="DZ50" s="249" t="e">
        <f>SUM(DU50:DY50)</f>
        <v>#VALUE!</v>
      </c>
      <c r="EA50" s="308" t="s">
        <v>61</v>
      </c>
      <c r="EB50" s="277" t="e">
        <f>IF(AND(CF50=CF47,BA41=BA38),BH49,"kkk")</f>
        <v>#VALUE!</v>
      </c>
      <c r="EC50" s="277" t="e">
        <f>IF(AND(CF50=CF48,BA41=BA39),BH52,"kkk")</f>
        <v>#VALUE!</v>
      </c>
      <c r="ED50" s="277" t="e">
        <f>IF(AND(CF50=CF49,BA41=BA40),BH54,"kkk")</f>
        <v>#VALUE!</v>
      </c>
      <c r="EE50" s="310" t="s">
        <v>53</v>
      </c>
      <c r="EF50" s="311"/>
      <c r="EG50" s="249" t="e">
        <f>SUM(EB50:EF50)</f>
        <v>#VALUE!</v>
      </c>
      <c r="EH50" s="308" t="s">
        <v>61</v>
      </c>
      <c r="EI50" s="277" t="e">
        <f>IF(BD41&lt;&gt;"ùùù",IF(AND(CF50=CF47,BD41=BD38),BL49,"kkk"),"kkk")</f>
        <v>#VALUE!</v>
      </c>
      <c r="EJ50" s="277" t="e">
        <f>IF(BD41&lt;&gt;"ùùù",IF(AND(CF50=CF48,BD41=BD39),BL52,"kkk"),"kkk")</f>
        <v>#VALUE!</v>
      </c>
      <c r="EK50" s="277" t="e">
        <f>IF(BD41&lt;&gt;"ùùù",IF(AND(CF50=CF49,BD41=BD40),BL54,"kkk"),"kkk")</f>
        <v>#VALUE!</v>
      </c>
      <c r="EL50" s="310" t="s">
        <v>53</v>
      </c>
      <c r="EM50" s="311"/>
      <c r="EN50" s="249" t="e">
        <f>SUM(EI50:EM50)</f>
        <v>#VALUE!</v>
      </c>
      <c r="EO50" s="308" t="s">
        <v>61</v>
      </c>
      <c r="EP50" s="277" t="e">
        <f>IF(BD41&lt;&gt;"ùùù",IF(AND(CF50=CF47,BD41=BD38),BH49,"kkk"),"kkk")</f>
        <v>#VALUE!</v>
      </c>
      <c r="EQ50" s="277" t="e">
        <f>IF(BD41&lt;&gt;"ùùù",IF(AND(CF50=CF48,BD41=BD39),BH52,"kkk"),"kkk")</f>
        <v>#VALUE!</v>
      </c>
      <c r="ER50" s="277" t="e">
        <f>IF(BD41&lt;&gt;"ùùù",IF(AND(CF50=CF49,BD41=BD40),BH54,"kkk"),"kkk")</f>
        <v>#VALUE!</v>
      </c>
      <c r="ES50" s="310" t="s">
        <v>53</v>
      </c>
      <c r="ET50" s="311"/>
      <c r="EU50" s="249" t="e">
        <f>SUM(EP50:ET50)</f>
        <v>#VALUE!</v>
      </c>
      <c r="EV50" s="308" t="s">
        <v>61</v>
      </c>
      <c r="EW50" s="277" t="e">
        <f>IF(AND(CF50=CF47,BC41=BC38),+AG49+AI49+AK49+AM49+AO49,"xxx")</f>
        <v>#VALUE!</v>
      </c>
      <c r="EX50" s="277" t="e">
        <f>IF(AND(CF50=CF48,BC41=BC39),+AG52+AI52+AK52+AM52+AO52,"xxx")</f>
        <v>#VALUE!</v>
      </c>
      <c r="EY50" s="277" t="e">
        <f>IF(AND(CF50=CF49,BC40=BC41),+AG54+AI54+AK54+AM54+AO54,"xxx")</f>
        <v>#VALUE!</v>
      </c>
      <c r="EZ50" s="310" t="s">
        <v>53</v>
      </c>
      <c r="FA50" s="311"/>
      <c r="FB50" s="249" t="e">
        <f>SUM(EW50:FA50)</f>
        <v>#VALUE!</v>
      </c>
      <c r="FC50" s="308" t="s">
        <v>61</v>
      </c>
      <c r="FD50" s="277" t="e">
        <f>IF(AND(CF50=CF47,BC41=BC38),+AF49+AH49+AJ49+AL49+AN49,"xxx")</f>
        <v>#VALUE!</v>
      </c>
      <c r="FE50" s="277" t="e">
        <f>IF(AND(CF50=CF48,BC41=BC39),+AF52+AH52+AJ52+AL52+AN52,"xxx")</f>
        <v>#VALUE!</v>
      </c>
      <c r="FF50" s="277" t="e">
        <f>IF(AND(CF50=CF49,BC41=BC40),+AF54+AH54+AJ54+AL54+AN54,"xxx")</f>
        <v>#VALUE!</v>
      </c>
      <c r="FG50" s="310" t="s">
        <v>53</v>
      </c>
      <c r="FH50" s="311"/>
      <c r="FI50" s="249" t="e">
        <f>SUM(FD50:FH50)</f>
        <v>#VALUE!</v>
      </c>
      <c r="FJ50" s="236"/>
      <c r="FK50" s="236"/>
      <c r="FL50" s="236"/>
      <c r="FM50" s="236"/>
    </row>
    <row r="51" spans="1:169" ht="21.95" customHeight="1" x14ac:dyDescent="0.2">
      <c r="A51" s="503"/>
      <c r="B51" s="503"/>
      <c r="C51" s="502"/>
      <c r="D51" s="502"/>
      <c r="E51" s="502"/>
      <c r="F51" s="502"/>
      <c r="G51" s="503"/>
      <c r="H51" s="506"/>
      <c r="I51" s="506"/>
      <c r="J51" s="506"/>
      <c r="K51" s="506"/>
      <c r="L51" s="572">
        <v>6</v>
      </c>
      <c r="M51" s="511"/>
      <c r="N51" s="572" t="s">
        <v>3</v>
      </c>
      <c r="O51" s="886" t="s">
        <v>17</v>
      </c>
      <c r="P51" s="887"/>
      <c r="Q51" s="887"/>
      <c r="R51" s="875"/>
      <c r="S51" s="875"/>
      <c r="T51" s="875"/>
      <c r="U51" s="875"/>
      <c r="V51" s="876"/>
      <c r="W51" s="573"/>
      <c r="X51" s="595" t="str">
        <f>IF($R$45="","",SUM(X45:X50))</f>
        <v/>
      </c>
      <c r="Y51" s="596" t="str">
        <f>IF($R$45="","",SUM(Y45:Y50))</f>
        <v/>
      </c>
      <c r="Z51" s="596" t="str">
        <f>IF($R$45="","",SUM(Z45:Z50))</f>
        <v/>
      </c>
      <c r="AA51" s="597" t="str">
        <f>IF($R$45="","",SUM(AA45:AA50))</f>
        <v/>
      </c>
      <c r="AB51" s="601">
        <f>SUM(X51:AA51)</f>
        <v>0</v>
      </c>
      <c r="AC51" s="298">
        <f>IF(AF38&lt;&gt;" ",AF38," ")</f>
        <v>1</v>
      </c>
      <c r="AD51" s="299">
        <f>IF(AF40&lt;&gt;" ",AF40," ")</f>
        <v>3</v>
      </c>
      <c r="AE51" s="300" t="str">
        <f t="shared" si="28"/>
        <v xml:space="preserve"> </v>
      </c>
      <c r="AF51" s="286">
        <f t="shared" si="29"/>
        <v>0</v>
      </c>
      <c r="AG51" s="287">
        <f t="shared" si="30"/>
        <v>0</v>
      </c>
      <c r="AH51" s="284">
        <f t="shared" si="31"/>
        <v>0</v>
      </c>
      <c r="AI51" s="287">
        <f t="shared" si="32"/>
        <v>0</v>
      </c>
      <c r="AJ51" s="288">
        <f t="shared" si="33"/>
        <v>0</v>
      </c>
      <c r="AK51" s="287">
        <f t="shared" si="34"/>
        <v>0</v>
      </c>
      <c r="AL51" s="288">
        <f t="shared" si="35"/>
        <v>0</v>
      </c>
      <c r="AM51" s="287">
        <f t="shared" si="36"/>
        <v>0</v>
      </c>
      <c r="AN51" s="288">
        <f t="shared" si="37"/>
        <v>0</v>
      </c>
      <c r="AO51" s="289">
        <f t="shared" si="38"/>
        <v>0</v>
      </c>
      <c r="AP51" s="313">
        <f>IF(BI51&gt;0,1,0)</f>
        <v>0</v>
      </c>
      <c r="AQ51" s="314"/>
      <c r="AR51" s="315">
        <f>IF(BI51&lt;0,1,0)</f>
        <v>0</v>
      </c>
      <c r="AS51" s="316"/>
      <c r="AT51" s="292"/>
      <c r="AU51" s="252"/>
      <c r="AV51" s="236"/>
      <c r="AW51" s="236"/>
      <c r="AX51" s="236"/>
      <c r="AY51" s="317">
        <f>IF(BI51&gt;0,1,0)</f>
        <v>0</v>
      </c>
      <c r="AZ51" s="318"/>
      <c r="BA51" s="305">
        <f>IF(BI51&lt;0,1,0)</f>
        <v>0</v>
      </c>
      <c r="BB51" s="319"/>
      <c r="BC51" s="239">
        <f t="shared" si="39"/>
        <v>0</v>
      </c>
      <c r="BD51" s="239">
        <f t="shared" si="40"/>
        <v>0</v>
      </c>
      <c r="BE51" s="239">
        <f t="shared" si="41"/>
        <v>0</v>
      </c>
      <c r="BF51" s="239">
        <f t="shared" si="42"/>
        <v>0</v>
      </c>
      <c r="BG51" s="239">
        <f t="shared" si="43"/>
        <v>0</v>
      </c>
      <c r="BH51" s="239" t="str">
        <f t="shared" si="44"/>
        <v>M</v>
      </c>
      <c r="BI51" s="239">
        <f t="shared" si="45"/>
        <v>0</v>
      </c>
      <c r="BJ51" s="239"/>
      <c r="BK51" s="239"/>
      <c r="BL51" s="239" t="e">
        <f t="shared" si="46"/>
        <v>#VALUE!</v>
      </c>
      <c r="BM51" s="239">
        <f t="shared" si="47"/>
        <v>0</v>
      </c>
      <c r="BN51" s="239"/>
      <c r="BO51" s="282"/>
      <c r="BQ51" s="268"/>
      <c r="BR51" s="248"/>
      <c r="BS51" s="308">
        <f>AE42</f>
        <v>0</v>
      </c>
      <c r="BT51" s="308">
        <f>CC47</f>
        <v>0</v>
      </c>
      <c r="BU51" s="308">
        <f>CB47</f>
        <v>0</v>
      </c>
      <c r="BV51" s="308">
        <f>CC48</f>
        <v>0</v>
      </c>
      <c r="BW51" s="308">
        <f>CB48</f>
        <v>0</v>
      </c>
      <c r="BX51" s="308">
        <f>CC49</f>
        <v>0</v>
      </c>
      <c r="BY51" s="308">
        <f>CB49</f>
        <v>0</v>
      </c>
      <c r="BZ51" s="308">
        <f>CC50</f>
        <v>0</v>
      </c>
      <c r="CA51" s="320">
        <f>CB50</f>
        <v>0</v>
      </c>
      <c r="CB51" s="271"/>
      <c r="CC51" s="271"/>
      <c r="CD51" s="271"/>
      <c r="CE51" s="271"/>
      <c r="CF51" s="249">
        <f t="shared" si="26"/>
        <v>0</v>
      </c>
      <c r="CG51" s="242">
        <f t="shared" si="27"/>
        <v>0</v>
      </c>
      <c r="CH51" s="271"/>
      <c r="CI51" s="271"/>
      <c r="CJ51" s="271"/>
      <c r="CK51" s="271"/>
      <c r="CL51" s="271"/>
      <c r="CM51" s="271"/>
      <c r="CN51" s="271"/>
      <c r="CO51" s="271"/>
      <c r="CP51" s="271"/>
      <c r="CQ51" s="271"/>
      <c r="CR51" s="271"/>
      <c r="CS51" s="252"/>
      <c r="CT51" s="252"/>
      <c r="CU51" s="252"/>
      <c r="CV51" s="252"/>
      <c r="CW51" s="252"/>
      <c r="CX51" s="252"/>
      <c r="CY51" s="271"/>
      <c r="CZ51" s="252"/>
      <c r="DA51" s="252"/>
      <c r="DB51" s="252"/>
      <c r="DC51" s="252"/>
      <c r="DD51" s="252"/>
      <c r="DE51" s="252"/>
      <c r="DF51" s="271"/>
      <c r="DG51" s="252"/>
      <c r="DH51" s="252"/>
      <c r="DI51" s="252"/>
      <c r="DJ51" s="252"/>
      <c r="DK51" s="252"/>
      <c r="DL51" s="252"/>
      <c r="DM51" s="271"/>
      <c r="DN51" s="252"/>
      <c r="DO51" s="252"/>
      <c r="DP51" s="252"/>
      <c r="DQ51" s="252"/>
      <c r="DR51" s="252"/>
      <c r="DS51" s="252"/>
      <c r="DT51" s="271"/>
      <c r="DU51" s="252"/>
      <c r="DV51" s="252"/>
      <c r="DW51" s="252"/>
      <c r="DX51" s="252"/>
      <c r="DY51" s="252"/>
      <c r="DZ51" s="252"/>
      <c r="EA51" s="271"/>
      <c r="EB51" s="252"/>
      <c r="EC51" s="252"/>
      <c r="ED51" s="252"/>
      <c r="EE51" s="252"/>
      <c r="EF51" s="252"/>
      <c r="EG51" s="252"/>
      <c r="EH51" s="271"/>
      <c r="EI51" s="252"/>
      <c r="EJ51" s="252"/>
      <c r="EK51" s="252"/>
      <c r="EL51" s="252"/>
      <c r="EM51" s="252"/>
      <c r="EN51" s="252"/>
      <c r="EO51" s="271"/>
      <c r="EP51" s="252"/>
      <c r="EQ51" s="252"/>
      <c r="ER51" s="252"/>
      <c r="ES51" s="252"/>
      <c r="ET51" s="252"/>
      <c r="EU51" s="252"/>
      <c r="EV51" s="271"/>
      <c r="EW51" s="252"/>
      <c r="EX51" s="252"/>
      <c r="EY51" s="252"/>
      <c r="EZ51" s="252"/>
      <c r="FA51" s="252"/>
      <c r="FB51" s="252"/>
      <c r="FC51" s="271"/>
      <c r="FD51" s="252"/>
      <c r="FE51" s="252"/>
      <c r="FF51" s="252"/>
      <c r="FG51" s="252"/>
      <c r="FH51" s="252"/>
      <c r="FI51" s="252"/>
      <c r="FJ51" s="236"/>
      <c r="FK51" s="236"/>
      <c r="FL51" s="236"/>
      <c r="FM51" s="236"/>
    </row>
    <row r="52" spans="1:169" ht="21.95" customHeight="1" thickBot="1" x14ac:dyDescent="0.25">
      <c r="A52" s="503"/>
      <c r="B52" s="577" t="s">
        <v>4</v>
      </c>
      <c r="C52" s="503"/>
      <c r="D52" s="503"/>
      <c r="E52" s="503"/>
      <c r="F52" s="503"/>
      <c r="G52" s="503"/>
      <c r="H52" s="506"/>
      <c r="I52" s="506"/>
      <c r="J52" s="506"/>
      <c r="K52" s="578" t="s">
        <v>3</v>
      </c>
      <c r="L52" s="579"/>
      <c r="M52" s="580" t="str">
        <f>IF(AB52=AB51,K52,IF(AB52&gt;AB51,""))</f>
        <v/>
      </c>
      <c r="N52" s="506"/>
      <c r="O52" s="833" t="s">
        <v>18</v>
      </c>
      <c r="P52" s="834"/>
      <c r="Q52" s="834"/>
      <c r="R52" s="834"/>
      <c r="S52" s="834"/>
      <c r="T52" s="834"/>
      <c r="U52" s="834"/>
      <c r="V52" s="835"/>
      <c r="W52" s="573"/>
      <c r="X52" s="581" t="str">
        <f>IF(M52="OK",BK38,"")</f>
        <v/>
      </c>
      <c r="Y52" s="582" t="str">
        <f>IF(M52="OK",BK39,"")</f>
        <v/>
      </c>
      <c r="Z52" s="582" t="str">
        <f>IF(M52="OK",BK40,"")</f>
        <v/>
      </c>
      <c r="AA52" s="598" t="str">
        <f>IF(M52="OK",BK41,"")</f>
        <v/>
      </c>
      <c r="AB52" s="601">
        <v>6</v>
      </c>
      <c r="AC52" s="283">
        <f>IF(AF39&lt;&gt;" ",AF39," ")</f>
        <v>2</v>
      </c>
      <c r="AD52" s="284">
        <f>IF(AF41&lt;&gt;" ",AF41," ")</f>
        <v>4</v>
      </c>
      <c r="AE52" s="300" t="str">
        <f t="shared" si="28"/>
        <v xml:space="preserve"> </v>
      </c>
      <c r="AF52" s="286">
        <f t="shared" si="29"/>
        <v>0</v>
      </c>
      <c r="AG52" s="287">
        <f t="shared" si="30"/>
        <v>0</v>
      </c>
      <c r="AH52" s="284">
        <f t="shared" si="31"/>
        <v>0</v>
      </c>
      <c r="AI52" s="287">
        <f t="shared" si="32"/>
        <v>0</v>
      </c>
      <c r="AJ52" s="288">
        <f t="shared" si="33"/>
        <v>0</v>
      </c>
      <c r="AK52" s="287">
        <f t="shared" si="34"/>
        <v>0</v>
      </c>
      <c r="AL52" s="288">
        <f t="shared" si="35"/>
        <v>0</v>
      </c>
      <c r="AM52" s="287">
        <f t="shared" si="36"/>
        <v>0</v>
      </c>
      <c r="AN52" s="288">
        <f t="shared" si="37"/>
        <v>0</v>
      </c>
      <c r="AO52" s="289">
        <f t="shared" si="38"/>
        <v>0</v>
      </c>
      <c r="AP52" s="301"/>
      <c r="AQ52" s="302">
        <f>IF(BI52&gt;0,1,0)</f>
        <v>0</v>
      </c>
      <c r="AR52" s="306"/>
      <c r="AS52" s="321">
        <f>IF(BI52&lt;0,1,0)</f>
        <v>0</v>
      </c>
      <c r="AT52" s="303"/>
      <c r="AU52" s="252"/>
      <c r="AV52" s="236"/>
      <c r="AW52" s="236"/>
      <c r="AX52" s="236"/>
      <c r="AY52" s="304"/>
      <c r="AZ52" s="305">
        <f>IF(BI52&gt;0,1,0)</f>
        <v>0</v>
      </c>
      <c r="BB52" s="322">
        <f>IF(BI52&lt;0,1,0)</f>
        <v>0</v>
      </c>
      <c r="BC52" s="239">
        <f t="shared" si="39"/>
        <v>0</v>
      </c>
      <c r="BD52" s="239">
        <f t="shared" si="40"/>
        <v>0</v>
      </c>
      <c r="BE52" s="239">
        <f t="shared" si="41"/>
        <v>0</v>
      </c>
      <c r="BF52" s="239">
        <f t="shared" si="42"/>
        <v>0</v>
      </c>
      <c r="BG52" s="239">
        <f t="shared" si="43"/>
        <v>0</v>
      </c>
      <c r="BH52" s="239" t="str">
        <f t="shared" si="44"/>
        <v>M</v>
      </c>
      <c r="BI52" s="239">
        <f t="shared" si="45"/>
        <v>0</v>
      </c>
      <c r="BJ52" s="239"/>
      <c r="BK52" s="239"/>
      <c r="BL52" s="239" t="e">
        <f t="shared" si="46"/>
        <v>#VALUE!</v>
      </c>
      <c r="BM52" s="239">
        <f t="shared" si="47"/>
        <v>0</v>
      </c>
      <c r="BN52" s="239"/>
      <c r="BO52" s="282"/>
      <c r="BQ52" s="26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71"/>
      <c r="CE52" s="271"/>
      <c r="CF52" s="249">
        <f t="shared" si="26"/>
        <v>0</v>
      </c>
      <c r="CG52" s="242">
        <f t="shared" si="27"/>
        <v>0</v>
      </c>
      <c r="CH52" s="271"/>
      <c r="CI52" s="271"/>
      <c r="CJ52" s="271"/>
      <c r="CK52" s="271"/>
      <c r="CL52" s="271"/>
      <c r="CM52" s="271"/>
      <c r="CN52" s="271"/>
      <c r="CO52" s="271"/>
      <c r="CP52" s="271"/>
      <c r="CQ52" s="271"/>
      <c r="CR52" s="271"/>
      <c r="CS52" s="252"/>
      <c r="CT52" s="252"/>
      <c r="CU52" s="252"/>
      <c r="CV52" s="252"/>
      <c r="CW52" s="252"/>
      <c r="CX52" s="252"/>
      <c r="CY52" s="249"/>
      <c r="CZ52" s="271"/>
      <c r="DA52" s="252"/>
      <c r="DB52" s="252"/>
      <c r="DC52" s="252"/>
      <c r="DD52" s="252"/>
      <c r="DE52" s="252"/>
      <c r="DF52" s="271"/>
      <c r="DG52" s="252"/>
      <c r="DH52" s="252"/>
      <c r="DI52" s="252"/>
      <c r="DJ52" s="252"/>
      <c r="DK52" s="252"/>
      <c r="DL52" s="252"/>
      <c r="DM52" s="271"/>
      <c r="DN52" s="252"/>
      <c r="DO52" s="252"/>
      <c r="DP52" s="252"/>
      <c r="DQ52" s="252"/>
      <c r="DR52" s="252"/>
      <c r="DS52" s="252"/>
      <c r="DT52" s="248"/>
      <c r="DU52" s="249"/>
      <c r="DV52" s="236"/>
      <c r="DW52" s="248"/>
      <c r="DX52" s="249"/>
      <c r="DY52" s="249"/>
      <c r="DZ52" s="248"/>
      <c r="EA52" s="248"/>
      <c r="EB52" s="249" t="e">
        <f>IF(EG47&gt;0,DZ47/EG47,"???")</f>
        <v>#VALUE!</v>
      </c>
      <c r="EC52" s="249" t="e">
        <f>IF(EG48&gt;0,DZ48/EG48,"???")</f>
        <v>#VALUE!</v>
      </c>
      <c r="ED52" s="249" t="e">
        <f>IF(EG49&gt;0,DZ49/EG49,"???")</f>
        <v>#VALUE!</v>
      </c>
      <c r="EE52" s="249" t="e">
        <f>IF(EG50&gt;0,DZ50/EG50,"???")</f>
        <v>#VALUE!</v>
      </c>
      <c r="EF52" s="249" t="str">
        <f>IF(EG51&gt;0,DZ51/EG51,"???")</f>
        <v>???</v>
      </c>
      <c r="EG52" s="249"/>
      <c r="EH52" s="271"/>
      <c r="EI52" s="252"/>
      <c r="EJ52" s="252"/>
      <c r="EK52" s="252"/>
      <c r="EL52" s="252"/>
      <c r="EM52" s="252"/>
      <c r="EN52" s="249">
        <f>SUM(EI52:EM52)</f>
        <v>0</v>
      </c>
      <c r="EO52" s="271"/>
      <c r="EP52" s="248" t="e">
        <f>IF(EU47&gt;0,EN47/EU47,"???")</f>
        <v>#VALUE!</v>
      </c>
      <c r="EQ52" s="248" t="e">
        <f>IF(EU48&gt;0,EN48/EU48,"???")</f>
        <v>#VALUE!</v>
      </c>
      <c r="ER52" s="248" t="e">
        <f>IF(EU49&gt;0,EN49/EU49,"???")</f>
        <v>#VALUE!</v>
      </c>
      <c r="ES52" s="248" t="e">
        <f>IF(EU50&gt;0,EN50/EU50,"???")</f>
        <v>#VALUE!</v>
      </c>
      <c r="ET52" s="248" t="str">
        <f>IF(EU51&gt;0,EN51/EU51,"???")</f>
        <v>???</v>
      </c>
      <c r="EU52" s="249"/>
      <c r="EV52" s="271"/>
      <c r="EW52" s="252"/>
      <c r="EX52" s="252"/>
      <c r="EY52" s="252"/>
      <c r="EZ52" s="252"/>
      <c r="FA52" s="252"/>
      <c r="FB52" s="323" t="e">
        <f>SUM(FB47:FB51)</f>
        <v>#VALUE!</v>
      </c>
      <c r="FC52" s="271"/>
      <c r="FD52" s="252"/>
      <c r="FF52" s="252"/>
      <c r="FG52" s="252"/>
      <c r="FH52" s="252"/>
      <c r="FI52" s="323" t="e">
        <f>SUM(FI47:FI51)</f>
        <v>#VALUE!</v>
      </c>
      <c r="FJ52" s="236"/>
      <c r="FK52" s="236"/>
      <c r="FL52" s="236"/>
      <c r="FM52" s="236"/>
    </row>
    <row r="53" spans="1:169" ht="27.95" customHeight="1" thickBot="1" x14ac:dyDescent="0.25">
      <c r="A53" s="504"/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6"/>
      <c r="X53" s="504"/>
      <c r="Y53" s="504"/>
      <c r="Z53" s="504"/>
      <c r="AA53" s="506"/>
      <c r="AC53" s="298">
        <f>IF(AF38&lt;&gt;" ",AF38," ")</f>
        <v>1</v>
      </c>
      <c r="AD53" s="299">
        <f>IF(AF39&lt;&gt;" ",AF39," ")</f>
        <v>2</v>
      </c>
      <c r="AE53" s="300" t="str">
        <f t="shared" si="28"/>
        <v xml:space="preserve"> </v>
      </c>
      <c r="AF53" s="286">
        <f t="shared" si="29"/>
        <v>0</v>
      </c>
      <c r="AG53" s="287">
        <f t="shared" si="30"/>
        <v>0</v>
      </c>
      <c r="AH53" s="284">
        <f t="shared" si="31"/>
        <v>0</v>
      </c>
      <c r="AI53" s="287">
        <f t="shared" si="32"/>
        <v>0</v>
      </c>
      <c r="AJ53" s="288">
        <f t="shared" si="33"/>
        <v>0</v>
      </c>
      <c r="AK53" s="287">
        <f t="shared" si="34"/>
        <v>0</v>
      </c>
      <c r="AL53" s="288">
        <f t="shared" si="35"/>
        <v>0</v>
      </c>
      <c r="AM53" s="287">
        <f t="shared" si="36"/>
        <v>0</v>
      </c>
      <c r="AN53" s="288">
        <f t="shared" si="37"/>
        <v>0</v>
      </c>
      <c r="AO53" s="289">
        <f t="shared" si="38"/>
        <v>0</v>
      </c>
      <c r="AP53" s="313">
        <f>IF(BI53&gt;0,1,0)</f>
        <v>0</v>
      </c>
      <c r="AQ53" s="302">
        <f>IF(BI53&lt;0,1,0)</f>
        <v>0</v>
      </c>
      <c r="AR53" s="324"/>
      <c r="AT53" s="303"/>
      <c r="AU53" s="252"/>
      <c r="AV53" s="236"/>
      <c r="AW53" s="236"/>
      <c r="AX53" s="236"/>
      <c r="AY53" s="317">
        <f>IF(BI53&gt;0,1,0)</f>
        <v>0</v>
      </c>
      <c r="AZ53" s="305">
        <f>IF(BI53&lt;0,1,0)</f>
        <v>0</v>
      </c>
      <c r="BA53" s="318"/>
      <c r="BB53" s="325"/>
      <c r="BC53" s="239">
        <f t="shared" si="39"/>
        <v>0</v>
      </c>
      <c r="BD53" s="239">
        <f t="shared" si="40"/>
        <v>0</v>
      </c>
      <c r="BE53" s="239">
        <f t="shared" si="41"/>
        <v>0</v>
      </c>
      <c r="BF53" s="239">
        <f t="shared" si="42"/>
        <v>0</v>
      </c>
      <c r="BG53" s="239">
        <f t="shared" si="43"/>
        <v>0</v>
      </c>
      <c r="BH53" s="239" t="str">
        <f t="shared" si="44"/>
        <v>M</v>
      </c>
      <c r="BI53" s="239">
        <f t="shared" si="45"/>
        <v>0</v>
      </c>
      <c r="BJ53" s="239"/>
      <c r="BK53" s="239"/>
      <c r="BL53" s="239" t="e">
        <f t="shared" si="46"/>
        <v>#VALUE!</v>
      </c>
      <c r="BM53" s="239">
        <f t="shared" si="47"/>
        <v>0</v>
      </c>
      <c r="BN53" s="239"/>
      <c r="BO53" s="282"/>
      <c r="BQ53" s="26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9">
        <f t="shared" si="26"/>
        <v>0</v>
      </c>
      <c r="CG53" s="242">
        <f t="shared" si="27"/>
        <v>0</v>
      </c>
      <c r="CH53" s="271"/>
      <c r="CI53" s="271"/>
      <c r="CJ53" s="271"/>
      <c r="CK53" s="271"/>
      <c r="CL53" s="271"/>
      <c r="CM53" s="27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1"/>
      <c r="CY53" s="249"/>
      <c r="CZ53" s="271"/>
      <c r="DA53" s="252"/>
      <c r="DB53" s="252"/>
      <c r="DC53" s="252"/>
      <c r="DD53" s="252"/>
      <c r="DE53" s="252"/>
      <c r="DF53" s="252"/>
      <c r="DG53" s="252"/>
      <c r="DH53" s="271"/>
      <c r="DI53" s="252"/>
      <c r="DJ53" s="252"/>
      <c r="DK53" s="252"/>
      <c r="DL53" s="252"/>
      <c r="DM53" s="271"/>
      <c r="DN53" s="252"/>
      <c r="DO53" s="252"/>
      <c r="DP53" s="252"/>
      <c r="DQ53" s="252"/>
      <c r="DR53" s="252"/>
      <c r="DS53" s="252"/>
      <c r="DT53" s="248"/>
      <c r="DU53" s="249"/>
      <c r="DV53" s="249"/>
      <c r="DW53" s="249"/>
      <c r="DX53" s="249"/>
      <c r="DY53" s="249"/>
      <c r="DZ53" s="252"/>
      <c r="EA53" s="248"/>
      <c r="EH53" s="271"/>
      <c r="EI53" s="271"/>
      <c r="EJ53" s="271"/>
      <c r="EK53" s="271"/>
      <c r="EL53" s="271"/>
      <c r="EM53" s="271"/>
      <c r="EN53" s="249">
        <f>SUM(EI53:EM53)</f>
        <v>0</v>
      </c>
      <c r="EO53" s="236"/>
      <c r="EP53" s="236"/>
      <c r="EQ53" s="236"/>
      <c r="ER53" s="236"/>
      <c r="ES53" s="236"/>
      <c r="ET53" s="236"/>
      <c r="EU53" s="236"/>
      <c r="EV53" s="271"/>
      <c r="EW53" s="252"/>
      <c r="EX53" s="252"/>
      <c r="EY53" s="249"/>
      <c r="EZ53" s="252"/>
      <c r="FA53" s="252"/>
      <c r="FB53" s="252"/>
      <c r="FC53" s="271"/>
      <c r="FD53" s="252"/>
      <c r="FE53" s="248"/>
      <c r="FF53" s="252"/>
      <c r="FG53" s="252"/>
      <c r="FH53" s="252"/>
      <c r="FI53" s="252"/>
      <c r="FJ53" s="236"/>
      <c r="FK53" s="236"/>
      <c r="FL53" s="236"/>
      <c r="FM53" s="236"/>
    </row>
    <row r="54" spans="1:169" ht="27.95" customHeight="1" thickBot="1" x14ac:dyDescent="0.25">
      <c r="A54" s="881" t="s">
        <v>289</v>
      </c>
      <c r="B54" s="882"/>
      <c r="C54" s="870" t="str">
        <f>IF($AB51&lt;6,"",IF($X52=1,C38,IF($Y52=1,C39,IF($Z52=1,C40,IF($AA52=1,C41)))))</f>
        <v/>
      </c>
      <c r="D54" s="871"/>
      <c r="E54" s="811" t="str">
        <f>IF(C54="","",VLOOKUP(C54,liste!$A$9:$G$145,2,FALSE))</f>
        <v/>
      </c>
      <c r="F54" s="812"/>
      <c r="G54" s="812"/>
      <c r="H54" s="812"/>
      <c r="I54" s="813"/>
      <c r="J54" s="584" t="str">
        <f>IF(C54="","",VLOOKUP(C54,liste!$A$9:$G$145,4,FALSE))</f>
        <v/>
      </c>
      <c r="K54" s="811" t="str">
        <f>IF(C54="","",VLOOKUP(C54,liste!$A$9:$G$145,3,FALSE))</f>
        <v/>
      </c>
      <c r="L54" s="812"/>
      <c r="M54" s="812"/>
      <c r="N54" s="813"/>
      <c r="O54" s="513"/>
      <c r="P54" s="892" t="s">
        <v>294</v>
      </c>
      <c r="Q54" s="892"/>
      <c r="R54" s="892"/>
      <c r="S54" s="504"/>
      <c r="T54" s="504"/>
      <c r="U54" s="504"/>
      <c r="V54" s="504"/>
      <c r="W54" s="504"/>
      <c r="X54" s="504"/>
      <c r="Y54" s="504"/>
      <c r="Z54" s="504"/>
      <c r="AA54" s="506"/>
      <c r="AC54" s="298">
        <f>IF(AF40&lt;&gt;" ",AF40," ")</f>
        <v>3</v>
      </c>
      <c r="AD54" s="299">
        <f>IF(AF41&lt;&gt;" ",AF41," ")</f>
        <v>4</v>
      </c>
      <c r="AE54" s="300" t="str">
        <f t="shared" si="28"/>
        <v xml:space="preserve"> </v>
      </c>
      <c r="AF54" s="286">
        <f t="shared" si="29"/>
        <v>0</v>
      </c>
      <c r="AG54" s="287">
        <f t="shared" si="30"/>
        <v>0</v>
      </c>
      <c r="AH54" s="284">
        <f t="shared" si="31"/>
        <v>0</v>
      </c>
      <c r="AI54" s="287">
        <f t="shared" si="32"/>
        <v>0</v>
      </c>
      <c r="AJ54" s="288">
        <f t="shared" si="33"/>
        <v>0</v>
      </c>
      <c r="AK54" s="287">
        <f t="shared" si="34"/>
        <v>0</v>
      </c>
      <c r="AL54" s="288">
        <f t="shared" si="35"/>
        <v>0</v>
      </c>
      <c r="AM54" s="287">
        <f t="shared" si="36"/>
        <v>0</v>
      </c>
      <c r="AN54" s="288">
        <f t="shared" si="37"/>
        <v>0</v>
      </c>
      <c r="AO54" s="289">
        <f t="shared" si="38"/>
        <v>0</v>
      </c>
      <c r="AP54" s="301"/>
      <c r="AR54" s="302">
        <f>IF(BI54&gt;0,1,0)</f>
        <v>0</v>
      </c>
      <c r="AS54" s="315">
        <f>IF(BI54&lt;0,1,0)</f>
        <v>0</v>
      </c>
      <c r="AT54" s="292"/>
      <c r="AU54" s="252"/>
      <c r="AV54" s="236"/>
      <c r="AW54" s="236"/>
      <c r="AX54" s="236"/>
      <c r="AY54" s="326"/>
      <c r="AZ54" s="327"/>
      <c r="BA54" s="328">
        <f>IF(BI54&gt;0,1,0)</f>
        <v>0</v>
      </c>
      <c r="BB54" s="328">
        <f>IF(BI54&lt;0,1,0)</f>
        <v>0</v>
      </c>
      <c r="BC54" s="329">
        <f t="shared" si="39"/>
        <v>0</v>
      </c>
      <c r="BD54" s="329">
        <f t="shared" si="40"/>
        <v>0</v>
      </c>
      <c r="BE54" s="329">
        <f t="shared" si="41"/>
        <v>0</v>
      </c>
      <c r="BF54" s="329">
        <f t="shared" si="42"/>
        <v>0</v>
      </c>
      <c r="BG54" s="329">
        <f t="shared" si="43"/>
        <v>0</v>
      </c>
      <c r="BH54" s="329" t="str">
        <f t="shared" si="44"/>
        <v>M</v>
      </c>
      <c r="BI54" s="329">
        <f t="shared" si="45"/>
        <v>0</v>
      </c>
      <c r="BJ54" s="329"/>
      <c r="BK54" s="329"/>
      <c r="BL54" s="329" t="e">
        <f t="shared" si="46"/>
        <v>#VALUE!</v>
      </c>
      <c r="BM54" s="329">
        <f t="shared" si="47"/>
        <v>0</v>
      </c>
      <c r="BN54" s="329"/>
      <c r="BO54" s="330"/>
      <c r="BQ54" s="268"/>
      <c r="BR54" s="248"/>
      <c r="BS54" s="248">
        <f>AE45</f>
        <v>0</v>
      </c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9"/>
      <c r="DB54" s="249"/>
      <c r="DC54" s="249"/>
      <c r="DD54" s="249"/>
      <c r="DE54" s="249"/>
      <c r="DF54" s="249"/>
      <c r="DG54" s="248"/>
      <c r="DH54" s="248"/>
      <c r="DI54" s="249"/>
      <c r="DJ54" s="249"/>
      <c r="DK54" s="249"/>
      <c r="DL54" s="249"/>
      <c r="DM54" s="249"/>
      <c r="DN54" s="249"/>
      <c r="DO54" s="248"/>
      <c r="DP54" s="248"/>
      <c r="DQ54" s="249"/>
      <c r="DR54" s="249"/>
      <c r="DS54" s="249"/>
      <c r="DT54" s="236"/>
      <c r="DU54" s="236"/>
      <c r="DV54" s="236"/>
      <c r="DW54" s="236"/>
      <c r="DX54" s="236"/>
      <c r="DY54" s="236"/>
      <c r="DZ54" s="236"/>
      <c r="EA54" s="248"/>
      <c r="EB54" s="236"/>
      <c r="EC54" s="236"/>
      <c r="ED54" s="236"/>
      <c r="EE54" s="236"/>
      <c r="EF54" s="236"/>
      <c r="EG54" s="252"/>
      <c r="EH54" s="248"/>
      <c r="EI54" s="248"/>
      <c r="EJ54" s="248"/>
      <c r="EK54" s="248"/>
      <c r="EL54" s="248"/>
      <c r="EM54" s="248"/>
      <c r="EN54" s="248"/>
      <c r="EO54" s="236"/>
      <c r="EP54" s="236"/>
      <c r="EQ54" s="236"/>
      <c r="ER54" s="236"/>
      <c r="ES54" s="236"/>
      <c r="ET54" s="236"/>
      <c r="EU54" s="248"/>
      <c r="EV54" s="248"/>
      <c r="EW54" s="248"/>
      <c r="EX54" s="248"/>
      <c r="EY54" s="248"/>
      <c r="EZ54" s="248"/>
      <c r="FA54" s="248"/>
      <c r="FB54" s="248"/>
      <c r="FC54" s="248"/>
      <c r="FD54" s="248"/>
      <c r="FF54" s="248"/>
      <c r="FG54" s="248"/>
      <c r="FH54" s="248"/>
      <c r="FI54" s="248"/>
      <c r="FJ54" s="236"/>
      <c r="FK54" s="236"/>
      <c r="FL54" s="236"/>
      <c r="FM54" s="236"/>
    </row>
    <row r="55" spans="1:169" ht="27.95" customHeight="1" thickTop="1" thickBot="1" x14ac:dyDescent="0.25">
      <c r="A55" s="877" t="s">
        <v>290</v>
      </c>
      <c r="B55" s="878"/>
      <c r="C55" s="868" t="str">
        <f>IF($AB51&lt;6,"",IF($X52=2,C38,IF($Y52=2,C39,IF($Z52=2,C40,IF($AA52=2,C41)))))</f>
        <v/>
      </c>
      <c r="D55" s="869"/>
      <c r="E55" s="804" t="str">
        <f>IF(C55="","",VLOOKUP(C55,liste!$A$9:$G$145,2,FALSE))</f>
        <v/>
      </c>
      <c r="F55" s="805"/>
      <c r="G55" s="805"/>
      <c r="H55" s="805"/>
      <c r="I55" s="806"/>
      <c r="J55" s="585" t="str">
        <f>IF(C55="","",VLOOKUP(C55,liste!$A$9:$G$145,4,FALSE))</f>
        <v/>
      </c>
      <c r="K55" s="804" t="str">
        <f>IF(C55="","",VLOOKUP(C55,liste!$A$9:$G$145,3,FALSE))</f>
        <v/>
      </c>
      <c r="L55" s="805"/>
      <c r="M55" s="805"/>
      <c r="N55" s="806"/>
      <c r="O55" s="504"/>
      <c r="P55" s="825">
        <f>$P$26</f>
        <v>0</v>
      </c>
      <c r="Q55" s="825"/>
      <c r="R55" s="825"/>
      <c r="S55" s="825"/>
      <c r="T55" s="825"/>
      <c r="U55" s="825"/>
      <c r="V55" s="504"/>
      <c r="W55" s="504"/>
      <c r="X55" s="504"/>
      <c r="Y55" s="504"/>
      <c r="Z55" s="504"/>
      <c r="AA55" s="506"/>
      <c r="AC55" s="331"/>
      <c r="AD55" s="332"/>
      <c r="AE55" s="332"/>
      <c r="AF55" s="333"/>
      <c r="AG55" s="333"/>
      <c r="AH55" s="333"/>
      <c r="AI55" s="333"/>
      <c r="AJ55" s="334"/>
      <c r="AK55" s="334"/>
      <c r="AL55" s="335"/>
      <c r="AM55" s="334" t="s">
        <v>72</v>
      </c>
      <c r="AN55" s="333"/>
      <c r="AO55" s="336"/>
      <c r="AP55" s="337">
        <f>SUM(AP49:AP54)</f>
        <v>0</v>
      </c>
      <c r="AQ55" s="338">
        <f>SUM(AQ49:AQ54)</f>
        <v>0</v>
      </c>
      <c r="AR55" s="338">
        <f>SUM(AR49:AR54)</f>
        <v>0</v>
      </c>
      <c r="AS55" s="339">
        <f>SUM(AS49:AS54)</f>
        <v>0</v>
      </c>
      <c r="AT55" s="340">
        <f>SUM(AT49:AT54)</f>
        <v>0</v>
      </c>
      <c r="AU55" s="252"/>
      <c r="AV55" s="236"/>
      <c r="AW55" s="236"/>
      <c r="AX55" s="236"/>
      <c r="AY55" s="323"/>
      <c r="AZ55" s="323"/>
      <c r="BA55" s="323"/>
      <c r="BB55" s="323"/>
      <c r="BC55" s="323"/>
      <c r="BD55" s="252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49"/>
      <c r="BR55" s="248"/>
      <c r="BS55" s="248">
        <f>AE46</f>
        <v>0</v>
      </c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248"/>
      <c r="CW55" s="248"/>
      <c r="CX55" s="248"/>
      <c r="CY55" s="248"/>
      <c r="CZ55" s="248"/>
      <c r="DA55" s="249"/>
      <c r="DB55" s="249"/>
      <c r="DC55" s="249"/>
      <c r="DD55" s="249"/>
      <c r="DE55" s="249"/>
      <c r="DF55" s="249"/>
      <c r="DG55" s="248"/>
      <c r="DH55" s="248"/>
      <c r="DI55" s="249"/>
      <c r="DJ55" s="249"/>
      <c r="DK55" s="249"/>
      <c r="DL55" s="249"/>
      <c r="DM55" s="249"/>
      <c r="DN55" s="249"/>
      <c r="DO55" s="248"/>
      <c r="DP55" s="248"/>
      <c r="DQ55" s="249"/>
      <c r="DR55" s="249"/>
      <c r="DS55" s="249"/>
      <c r="DT55" s="249"/>
      <c r="DU55" s="249"/>
      <c r="DV55" s="249"/>
      <c r="DW55" s="248"/>
      <c r="DX55" s="248"/>
      <c r="DY55" s="249"/>
      <c r="DZ55" s="249"/>
      <c r="EA55" s="236"/>
      <c r="EB55" s="249"/>
      <c r="EC55" s="249"/>
      <c r="ED55" s="249"/>
      <c r="EE55" s="248">
        <f>SUM(DY55:ED55)</f>
        <v>0</v>
      </c>
      <c r="EF55" s="248"/>
      <c r="EG55" s="236"/>
      <c r="EH55" s="248"/>
      <c r="EI55" s="248"/>
      <c r="EJ55" s="248"/>
      <c r="EK55" s="248"/>
      <c r="EL55" s="248"/>
      <c r="EM55" s="248"/>
      <c r="EN55" s="248"/>
      <c r="EO55" s="236"/>
      <c r="EP55" s="236"/>
      <c r="EQ55" s="236"/>
      <c r="ER55" s="236"/>
      <c r="ES55" s="236"/>
      <c r="ET55" s="236"/>
      <c r="EU55" s="248"/>
      <c r="EV55" s="248"/>
      <c r="EW55" s="236"/>
      <c r="EX55" s="236"/>
      <c r="EY55" s="236"/>
      <c r="EZ55" s="236"/>
      <c r="FA55" s="236"/>
      <c r="FB55" s="236"/>
      <c r="FC55" s="248"/>
      <c r="FD55" s="248"/>
      <c r="FE55" s="248"/>
      <c r="FF55" s="248"/>
      <c r="FG55" s="248"/>
      <c r="FH55" s="248"/>
      <c r="FI55" s="248"/>
      <c r="FJ55" s="236"/>
      <c r="FK55" s="236"/>
      <c r="FL55" s="236"/>
      <c r="FM55" s="236"/>
    </row>
    <row r="56" spans="1:169" ht="27.95" customHeight="1" thickTop="1" x14ac:dyDescent="0.2">
      <c r="A56" s="877" t="s">
        <v>291</v>
      </c>
      <c r="B56" s="878"/>
      <c r="C56" s="868" t="str">
        <f>IF($AB51&lt;6,"",IF($X52=3,C38,IF($Y52=3,C39,IF($Z52=3,C40,IF($AA52=3,C41)))))</f>
        <v/>
      </c>
      <c r="D56" s="869"/>
      <c r="E56" s="804" t="str">
        <f>IF(C56="","",VLOOKUP(C56,liste!$A$9:$G$145,2,FALSE))</f>
        <v/>
      </c>
      <c r="F56" s="805"/>
      <c r="G56" s="805"/>
      <c r="H56" s="805"/>
      <c r="I56" s="806"/>
      <c r="J56" s="585" t="str">
        <f>IF(C56="","",VLOOKUP(C56,liste!$A$9:$G$145,4,FALSE))</f>
        <v/>
      </c>
      <c r="K56" s="804" t="str">
        <f>IF(C56="","",VLOOKUP(C56,liste!$A$9:$G$145,3,FALSE))</f>
        <v/>
      </c>
      <c r="L56" s="805"/>
      <c r="M56" s="805"/>
      <c r="N56" s="806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6"/>
      <c r="AU56" s="252"/>
      <c r="AV56" s="236"/>
      <c r="AW56" s="236"/>
      <c r="AX56" s="236"/>
      <c r="AY56" s="323"/>
      <c r="AZ56" s="323"/>
      <c r="BA56" s="323"/>
      <c r="BB56" s="323"/>
      <c r="BC56" s="323"/>
      <c r="BD56" s="252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8"/>
      <c r="BS56" s="248"/>
      <c r="BT56" s="248"/>
      <c r="BU56" s="248"/>
      <c r="BV56" s="248"/>
      <c r="BW56" s="248"/>
      <c r="BX56" s="248"/>
      <c r="BY56" s="248"/>
      <c r="BZ56" s="248"/>
      <c r="CA56" s="248"/>
      <c r="CB56" s="248"/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248"/>
      <c r="CP56" s="248"/>
      <c r="CQ56" s="248"/>
      <c r="CR56" s="248"/>
      <c r="CS56" s="248"/>
      <c r="CT56" s="248"/>
      <c r="CU56" s="248"/>
      <c r="CV56" s="248"/>
      <c r="CW56" s="248"/>
      <c r="CX56" s="248"/>
      <c r="CY56" s="248"/>
      <c r="CZ56" s="248"/>
      <c r="DA56" s="249"/>
      <c r="DB56" s="249"/>
      <c r="DC56" s="249"/>
      <c r="DD56" s="249"/>
      <c r="DE56" s="249"/>
      <c r="DF56" s="249"/>
      <c r="DG56" s="248"/>
      <c r="DH56" s="248"/>
      <c r="DI56" s="249"/>
      <c r="DJ56" s="249"/>
      <c r="DK56" s="249"/>
      <c r="DL56" s="249"/>
      <c r="DM56" s="249"/>
      <c r="DN56" s="249"/>
      <c r="DO56" s="248"/>
      <c r="DP56" s="248"/>
      <c r="DQ56" s="249"/>
      <c r="DR56" s="249"/>
      <c r="DS56" s="249"/>
      <c r="DT56" s="249"/>
      <c r="DU56" s="249"/>
      <c r="DV56" s="249"/>
      <c r="DW56" s="248"/>
      <c r="DX56" s="248"/>
      <c r="DY56" s="249"/>
      <c r="DZ56" s="249"/>
      <c r="EA56" s="249"/>
      <c r="EB56" s="249"/>
      <c r="EC56" s="249"/>
      <c r="ED56" s="249"/>
      <c r="EE56" s="248">
        <f>SUM(DY56:ED56)</f>
        <v>0</v>
      </c>
      <c r="EF56" s="248"/>
      <c r="EG56" s="241"/>
      <c r="EH56" s="241"/>
      <c r="EI56" s="241"/>
      <c r="EJ56" s="241"/>
      <c r="EK56" s="241"/>
      <c r="EL56" s="241"/>
      <c r="EM56" s="248"/>
      <c r="EN56" s="248"/>
      <c r="EO56" s="248"/>
      <c r="EP56" s="248"/>
      <c r="EQ56" s="248"/>
      <c r="ER56" s="248"/>
      <c r="ES56" s="248"/>
      <c r="ET56" s="248"/>
      <c r="EU56" s="248"/>
      <c r="EV56" s="248"/>
      <c r="EW56" s="248"/>
      <c r="EX56" s="248"/>
      <c r="EY56" s="248"/>
      <c r="EZ56" s="248"/>
      <c r="FA56" s="248"/>
      <c r="FB56" s="248"/>
      <c r="FC56" s="248"/>
      <c r="FD56" s="248"/>
      <c r="FE56" s="248"/>
      <c r="FF56" s="248"/>
      <c r="FG56" s="248"/>
      <c r="FH56" s="248"/>
      <c r="FI56" s="248"/>
      <c r="FJ56" s="236"/>
      <c r="FK56" s="236"/>
      <c r="FL56" s="236"/>
      <c r="FM56" s="236"/>
    </row>
    <row r="57" spans="1:169" ht="21.95" customHeight="1" thickBot="1" x14ac:dyDescent="0.25">
      <c r="A57" s="888" t="s">
        <v>292</v>
      </c>
      <c r="B57" s="889"/>
      <c r="C57" s="860" t="str">
        <f>IF($AB51&lt;6,"",IF($X52=4,C38,IF($Y52=4,C39,IF($Z52=4,C40,IF(AA52=4,C41)))))</f>
        <v/>
      </c>
      <c r="D57" s="861"/>
      <c r="E57" s="814" t="str">
        <f>IF(C57="","",VLOOKUP(C57,liste!$A$9:$G$145,2,FALSE))</f>
        <v/>
      </c>
      <c r="F57" s="815"/>
      <c r="G57" s="815"/>
      <c r="H57" s="815"/>
      <c r="I57" s="816"/>
      <c r="J57" s="586" t="str">
        <f>IF(C57="","",VLOOKUP(C57,liste!$A$9:$G$145,4,FALSE))</f>
        <v/>
      </c>
      <c r="K57" s="814" t="str">
        <f>IF(C57="","",VLOOKUP(C57,liste!$A$9:$G$145,3,FALSE))</f>
        <v/>
      </c>
      <c r="L57" s="815"/>
      <c r="M57" s="815"/>
      <c r="N57" s="81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U57" s="252"/>
      <c r="AV57" s="236"/>
      <c r="AW57" s="236"/>
      <c r="AX57" s="236"/>
      <c r="AY57" s="323"/>
      <c r="AZ57" s="323"/>
      <c r="BA57" s="323"/>
      <c r="BB57" s="323"/>
      <c r="BC57" s="323"/>
      <c r="BD57" s="252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8"/>
      <c r="BS57" s="248"/>
      <c r="BT57" s="248"/>
      <c r="BU57" s="248"/>
      <c r="BV57" s="248"/>
      <c r="BW57" s="248"/>
      <c r="BX57" s="248"/>
      <c r="BY57" s="248"/>
      <c r="BZ57" s="248"/>
      <c r="CA57" s="248"/>
      <c r="CB57" s="248"/>
      <c r="CC57" s="248"/>
      <c r="CD57" s="248"/>
      <c r="CE57" s="248"/>
      <c r="CF57" s="241"/>
      <c r="CG57" s="241"/>
      <c r="CH57" s="248"/>
      <c r="CI57" s="248"/>
      <c r="CJ57" s="248"/>
      <c r="CK57" s="248"/>
      <c r="CL57" s="248"/>
      <c r="CM57" s="248"/>
      <c r="CN57" s="248"/>
      <c r="CO57" s="248"/>
      <c r="CP57" s="248"/>
      <c r="CQ57" s="248"/>
      <c r="CR57" s="248"/>
      <c r="CS57" s="248" t="s">
        <v>5</v>
      </c>
      <c r="CT57" s="248" t="s">
        <v>5</v>
      </c>
      <c r="CU57" s="248"/>
      <c r="CV57" s="248"/>
      <c r="CW57" s="248" t="s">
        <v>5</v>
      </c>
      <c r="CX57" s="248" t="s">
        <v>5</v>
      </c>
      <c r="CY57" s="248"/>
      <c r="CZ57" s="248"/>
      <c r="DA57" s="249" t="s">
        <v>5</v>
      </c>
      <c r="DB57" s="249" t="s">
        <v>5</v>
      </c>
      <c r="DC57" s="249"/>
      <c r="DD57" s="249"/>
      <c r="DE57" s="249" t="s">
        <v>5</v>
      </c>
      <c r="DF57" s="249" t="s">
        <v>5</v>
      </c>
      <c r="DG57" s="248"/>
      <c r="DH57" s="248"/>
      <c r="DI57" s="249" t="s">
        <v>5</v>
      </c>
      <c r="DJ57" s="249" t="s">
        <v>5</v>
      </c>
      <c r="DK57" s="249"/>
      <c r="DL57" s="249"/>
      <c r="DM57" s="249" t="s">
        <v>5</v>
      </c>
      <c r="DN57" s="249" t="s">
        <v>5</v>
      </c>
      <c r="DO57" s="248"/>
      <c r="DP57" s="248"/>
      <c r="DQ57" s="249" t="s">
        <v>5</v>
      </c>
      <c r="DR57" s="249" t="s">
        <v>5</v>
      </c>
      <c r="DS57" s="249"/>
      <c r="DT57" s="249"/>
      <c r="DU57" s="249" t="s">
        <v>5</v>
      </c>
      <c r="DV57" s="249" t="s">
        <v>5</v>
      </c>
      <c r="DW57" s="248"/>
      <c r="DX57" s="248"/>
      <c r="DY57" s="249" t="s">
        <v>5</v>
      </c>
      <c r="DZ57" s="249" t="s">
        <v>71</v>
      </c>
      <c r="EA57" s="249" t="s">
        <v>5</v>
      </c>
      <c r="EB57" s="249"/>
      <c r="EC57" s="249"/>
      <c r="ED57" s="249" t="s">
        <v>5</v>
      </c>
      <c r="EE57" s="248">
        <f>SUM(DY57:ED57)</f>
        <v>0</v>
      </c>
      <c r="EF57" s="248"/>
      <c r="EG57" s="248"/>
      <c r="EH57" s="248"/>
      <c r="EI57" s="248"/>
      <c r="EJ57" s="248"/>
      <c r="EK57" s="248"/>
      <c r="EL57" s="248"/>
      <c r="EM57" s="248"/>
      <c r="EN57" s="248"/>
      <c r="EO57" s="248" t="s">
        <v>5</v>
      </c>
      <c r="EP57" s="248" t="s">
        <v>71</v>
      </c>
      <c r="EQ57" s="248" t="s">
        <v>5</v>
      </c>
      <c r="ER57" s="248"/>
      <c r="ES57" s="248"/>
      <c r="ET57" s="248" t="s">
        <v>5</v>
      </c>
      <c r="EU57" s="248"/>
      <c r="EV57" s="248"/>
      <c r="EW57" s="248" t="s">
        <v>5</v>
      </c>
      <c r="EX57" s="248" t="s">
        <v>5</v>
      </c>
      <c r="EY57" s="248"/>
      <c r="EZ57" s="248"/>
      <c r="FA57" s="248" t="s">
        <v>5</v>
      </c>
      <c r="FB57" s="248" t="s">
        <v>5</v>
      </c>
      <c r="FC57" s="248"/>
      <c r="FD57" s="248"/>
      <c r="FE57" s="248"/>
      <c r="FF57" s="248"/>
      <c r="FG57" s="248"/>
      <c r="FH57" s="248"/>
      <c r="FI57" s="248"/>
      <c r="FJ57" s="236"/>
      <c r="FK57" s="236"/>
      <c r="FL57" s="236"/>
      <c r="FM57" s="236"/>
    </row>
    <row r="58" spans="1:169" x14ac:dyDescent="0.2">
      <c r="A58" s="602"/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  <c r="O58" s="602"/>
      <c r="P58" s="602"/>
      <c r="Q58" s="602"/>
      <c r="R58" s="602"/>
      <c r="S58" s="602"/>
      <c r="T58" s="602"/>
      <c r="U58" s="602"/>
      <c r="V58" s="602"/>
      <c r="W58" s="602"/>
      <c r="X58" s="602"/>
      <c r="Y58" s="602"/>
      <c r="Z58" s="602"/>
      <c r="AA58" s="602"/>
    </row>
  </sheetData>
  <sheetProtection sheet="1" selectLockedCells="1"/>
  <mergeCells count="148">
    <mergeCell ref="A1:AA2"/>
    <mergeCell ref="P25:R25"/>
    <mergeCell ref="A30:AA31"/>
    <mergeCell ref="F4:J4"/>
    <mergeCell ref="F33:J33"/>
    <mergeCell ref="P54:R54"/>
    <mergeCell ref="X6:Z6"/>
    <mergeCell ref="X35:Z35"/>
    <mergeCell ref="T4:Y4"/>
    <mergeCell ref="F6:K6"/>
    <mergeCell ref="Q8:Y8"/>
    <mergeCell ref="T33:Y33"/>
    <mergeCell ref="C8:E8"/>
    <mergeCell ref="F8:H8"/>
    <mergeCell ref="I8:N8"/>
    <mergeCell ref="O8:P8"/>
    <mergeCell ref="C28:D28"/>
    <mergeCell ref="C27:D27"/>
    <mergeCell ref="R14:V14"/>
    <mergeCell ref="O38:P38"/>
    <mergeCell ref="Q37:Y37"/>
    <mergeCell ref="A25:B25"/>
    <mergeCell ref="C25:D25"/>
    <mergeCell ref="K26:N26"/>
    <mergeCell ref="C57:D57"/>
    <mergeCell ref="C55:D55"/>
    <mergeCell ref="A28:B28"/>
    <mergeCell ref="A27:B27"/>
    <mergeCell ref="P55:U55"/>
    <mergeCell ref="A56:B56"/>
    <mergeCell ref="C56:D56"/>
    <mergeCell ref="A55:B55"/>
    <mergeCell ref="A57:B57"/>
    <mergeCell ref="A40:B40"/>
    <mergeCell ref="A41:B41"/>
    <mergeCell ref="A54:B54"/>
    <mergeCell ref="A38:B38"/>
    <mergeCell ref="A39:B39"/>
    <mergeCell ref="O51:V51"/>
    <mergeCell ref="F39:H39"/>
    <mergeCell ref="G49:K49"/>
    <mergeCell ref="G50:K50"/>
    <mergeCell ref="K54:N54"/>
    <mergeCell ref="K55:N55"/>
    <mergeCell ref="K56:N56"/>
    <mergeCell ref="K57:N57"/>
    <mergeCell ref="E54:I54"/>
    <mergeCell ref="E55:I55"/>
    <mergeCell ref="Q9:Y9"/>
    <mergeCell ref="Q10:Y10"/>
    <mergeCell ref="X43:AA43"/>
    <mergeCell ref="Z41:AA41"/>
    <mergeCell ref="O41:P41"/>
    <mergeCell ref="Q41:Y41"/>
    <mergeCell ref="R43:V43"/>
    <mergeCell ref="I12:N12"/>
    <mergeCell ref="O37:P37"/>
    <mergeCell ref="Z40:AA40"/>
    <mergeCell ref="O40:P40"/>
    <mergeCell ref="Q40:Y40"/>
    <mergeCell ref="I9:N9"/>
    <mergeCell ref="I10:N10"/>
    <mergeCell ref="F35:K35"/>
    <mergeCell ref="F37:H37"/>
    <mergeCell ref="I37:N37"/>
    <mergeCell ref="I38:N38"/>
    <mergeCell ref="M18:Q18"/>
    <mergeCell ref="M19:Q19"/>
    <mergeCell ref="M20:Q20"/>
    <mergeCell ref="M21:Q21"/>
    <mergeCell ref="X14:AA14"/>
    <mergeCell ref="O23:V23"/>
    <mergeCell ref="Z8:AA8"/>
    <mergeCell ref="Z9:AA9"/>
    <mergeCell ref="O9:P9"/>
    <mergeCell ref="Z38:AA38"/>
    <mergeCell ref="Z12:AA12"/>
    <mergeCell ref="Q11:Y11"/>
    <mergeCell ref="Q12:Y12"/>
    <mergeCell ref="A9:B9"/>
    <mergeCell ref="A26:B26"/>
    <mergeCell ref="C26:D26"/>
    <mergeCell ref="F12:H12"/>
    <mergeCell ref="C12:E12"/>
    <mergeCell ref="A10:B10"/>
    <mergeCell ref="C9:E9"/>
    <mergeCell ref="C11:E11"/>
    <mergeCell ref="F9:H9"/>
    <mergeCell ref="F10:H10"/>
    <mergeCell ref="G16:K16"/>
    <mergeCell ref="G17:K17"/>
    <mergeCell ref="G18:K18"/>
    <mergeCell ref="G19:K19"/>
    <mergeCell ref="G20:K20"/>
    <mergeCell ref="G21:K21"/>
    <mergeCell ref="M16:Q16"/>
    <mergeCell ref="AC48:AD48"/>
    <mergeCell ref="O52:V52"/>
    <mergeCell ref="C54:D54"/>
    <mergeCell ref="AC19:AD19"/>
    <mergeCell ref="Z37:AA37"/>
    <mergeCell ref="P26:U26"/>
    <mergeCell ref="Z39:AA39"/>
    <mergeCell ref="Q38:Y38"/>
    <mergeCell ref="O39:P39"/>
    <mergeCell ref="I40:N40"/>
    <mergeCell ref="C41:E41"/>
    <mergeCell ref="C40:E40"/>
    <mergeCell ref="C37:E37"/>
    <mergeCell ref="F38:H38"/>
    <mergeCell ref="C38:E38"/>
    <mergeCell ref="C39:E39"/>
    <mergeCell ref="F41:H41"/>
    <mergeCell ref="O22:V22"/>
    <mergeCell ref="I39:N39"/>
    <mergeCell ref="F40:H40"/>
    <mergeCell ref="I41:N41"/>
    <mergeCell ref="Q39:Y39"/>
    <mergeCell ref="G47:K47"/>
    <mergeCell ref="G48:K48"/>
    <mergeCell ref="M17:Q17"/>
    <mergeCell ref="F11:H11"/>
    <mergeCell ref="Z10:AA10"/>
    <mergeCell ref="A11:B11"/>
    <mergeCell ref="A12:B12"/>
    <mergeCell ref="Z11:AA11"/>
    <mergeCell ref="O11:P11"/>
    <mergeCell ref="O10:P10"/>
    <mergeCell ref="I11:N11"/>
    <mergeCell ref="C10:E10"/>
    <mergeCell ref="O12:P12"/>
    <mergeCell ref="E56:I56"/>
    <mergeCell ref="E57:I57"/>
    <mergeCell ref="K25:N25"/>
    <mergeCell ref="K27:N27"/>
    <mergeCell ref="K28:N28"/>
    <mergeCell ref="E25:I25"/>
    <mergeCell ref="E26:I26"/>
    <mergeCell ref="E27:I27"/>
    <mergeCell ref="E28:I28"/>
    <mergeCell ref="M45:Q45"/>
    <mergeCell ref="M46:Q46"/>
    <mergeCell ref="M47:Q47"/>
    <mergeCell ref="M48:Q48"/>
    <mergeCell ref="M49:Q49"/>
    <mergeCell ref="M50:Q50"/>
    <mergeCell ref="G45:K45"/>
    <mergeCell ref="G46:K46"/>
  </mergeCells>
  <phoneticPr fontId="0" type="noConversion"/>
  <conditionalFormatting sqref="D34:Z34 D33:F33 K33:Z33 D35:T35">
    <cfRule type="cellIs" dxfId="10" priority="3" stopIfTrue="1" operator="equal">
      <formula>0</formula>
    </cfRule>
  </conditionalFormatting>
  <conditionalFormatting sqref="U6:X6">
    <cfRule type="cellIs" dxfId="9" priority="2" stopIfTrue="1" operator="equal">
      <formula>0</formula>
    </cfRule>
  </conditionalFormatting>
  <conditionalFormatting sqref="U35:X35">
    <cfRule type="cellIs" dxfId="8" priority="1" stopIfTrue="1" operator="equal">
      <formula>0</formula>
    </cfRule>
  </conditionalFormatting>
  <conditionalFormatting sqref="A16:Q21 W16:AA21 A45:Q50 W45:AA50 S25 V25:AA26 U27:AA27 S54:AA54 O57:AA57 U56:AA56 P55:AA55 A3:AA3 A1 A32:AA32 A29:AA29 A30 A36:AA44 A33:C35 A5:AA5 A4:F4 K4:AA4 A7:AA15 AA6 A6:T6 A51:AA52 O53:AA53 O54:O55 A54:N57 A22:AA23 O24:AA24 O25:P25 O26:U26 A25:N28 O28:AA28 AA33:AA35">
    <cfRule type="cellIs" dxfId="7" priority="7" stopIfTrue="1" operator="equal">
      <formula>0</formula>
    </cfRule>
  </conditionalFormatting>
  <conditionalFormatting sqref="P54">
    <cfRule type="cellIs" dxfId="6" priority="6" stopIfTrue="1" operator="equal">
      <formula>0</formula>
    </cfRule>
  </conditionalFormatting>
  <conditionalFormatting sqref="E17:E21">
    <cfRule type="expression" dxfId="5" priority="5">
      <formula>$E$16=0</formula>
    </cfRule>
  </conditionalFormatting>
  <conditionalFormatting sqref="E46:E50">
    <cfRule type="expression" dxfId="4" priority="4">
      <formula>$E$45=0</formula>
    </cfRule>
  </conditionalFormatting>
  <printOptions horizontalCentered="1" verticalCentered="1"/>
  <pageMargins left="0.13" right="0.14000000000000001" top="0.14000000000000001" bottom="0.39370078740157483" header="0.24" footer="0.4921259845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B73"/>
  <sheetViews>
    <sheetView showGridLines="0" view="pageBreakPreview" zoomScale="60" zoomScaleNormal="75" workbookViewId="0">
      <selection activeCell="Q68" sqref="Q68:Y68"/>
    </sheetView>
  </sheetViews>
  <sheetFormatPr baseColWidth="10" defaultColWidth="5.7109375" defaultRowHeight="19.899999999999999" customHeight="1" x14ac:dyDescent="0.2"/>
  <cols>
    <col min="1" max="3" width="2.7109375" style="753" customWidth="1"/>
    <col min="4" max="4" width="4.7109375" style="753" customWidth="1"/>
    <col min="5" max="5" width="9.85546875" style="753" customWidth="1"/>
    <col min="6" max="6" width="6.7109375" style="753" customWidth="1"/>
    <col min="7" max="7" width="3.7109375" style="753" customWidth="1"/>
    <col min="8" max="11" width="7.7109375" style="753" customWidth="1"/>
    <col min="12" max="12" width="11.42578125" style="753" customWidth="1"/>
    <col min="13" max="16" width="7.7109375" style="753" customWidth="1"/>
    <col min="17" max="17" width="3.7109375" style="753" customWidth="1"/>
    <col min="18" max="22" width="4.28515625" style="753" customWidth="1"/>
    <col min="23" max="23" width="1.7109375" style="753" customWidth="1"/>
    <col min="24" max="16384" width="5.7109375" style="753"/>
  </cols>
  <sheetData>
    <row r="1" spans="1:27" ht="19.899999999999999" customHeight="1" x14ac:dyDescent="0.2">
      <c r="A1" s="926" t="str">
        <f>liste!A4</f>
        <v>Circuit décathlon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6"/>
      <c r="W1" s="926"/>
      <c r="X1" s="926"/>
      <c r="Y1" s="926"/>
      <c r="Z1" s="926"/>
      <c r="AA1" s="926"/>
    </row>
    <row r="2" spans="1:27" ht="19.899999999999999" customHeight="1" x14ac:dyDescent="0.2">
      <c r="A2" s="926"/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  <c r="Q2" s="926"/>
      <c r="R2" s="926"/>
      <c r="S2" s="926"/>
      <c r="T2" s="926"/>
      <c r="U2" s="926"/>
      <c r="V2" s="926"/>
      <c r="W2" s="926"/>
      <c r="X2" s="926"/>
      <c r="Y2" s="926"/>
      <c r="Z2" s="926"/>
      <c r="AA2" s="926"/>
    </row>
    <row r="3" spans="1:27" ht="30.6" customHeight="1" x14ac:dyDescent="0.2">
      <c r="A3" s="926" t="str">
        <f>Rens!B3</f>
        <v>Minimes</v>
      </c>
      <c r="B3" s="926"/>
      <c r="C3" s="926"/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</row>
    <row r="4" spans="1:27" ht="19.899999999999999" customHeight="1" x14ac:dyDescent="0.2">
      <c r="A4" s="761"/>
      <c r="B4" s="762"/>
      <c r="G4" s="762"/>
      <c r="H4" s="763"/>
      <c r="I4" s="764"/>
      <c r="J4" s="764"/>
      <c r="K4" s="764"/>
      <c r="L4" s="765"/>
      <c r="M4" s="764"/>
      <c r="N4" s="764"/>
      <c r="O4" s="766"/>
      <c r="P4" s="766"/>
      <c r="Q4" s="766"/>
      <c r="R4" s="766"/>
      <c r="S4" s="766"/>
      <c r="U4" s="763"/>
      <c r="V4" s="763"/>
      <c r="AA4" s="761"/>
    </row>
    <row r="5" spans="1:27" ht="19.899999999999999" customHeight="1" x14ac:dyDescent="0.2">
      <c r="A5" s="762"/>
      <c r="B5" s="762"/>
      <c r="D5" s="926" t="s">
        <v>6</v>
      </c>
      <c r="E5" s="926"/>
      <c r="F5" s="926" t="str">
        <f>Rens!B2</f>
        <v>Champagné</v>
      </c>
      <c r="G5" s="926"/>
      <c r="H5" s="926"/>
      <c r="I5" s="926"/>
      <c r="J5" s="926"/>
      <c r="K5" s="926"/>
      <c r="L5" s="926"/>
      <c r="M5" s="926"/>
      <c r="N5" s="766"/>
      <c r="O5" s="766"/>
      <c r="P5" s="766"/>
      <c r="Q5" s="926" t="s">
        <v>7</v>
      </c>
      <c r="R5" s="926"/>
      <c r="S5" s="926"/>
      <c r="T5" s="938">
        <f>Rens!B4</f>
        <v>43421</v>
      </c>
      <c r="U5" s="938"/>
      <c r="V5" s="938"/>
      <c r="W5" s="938"/>
      <c r="X5" s="938"/>
      <c r="Y5" s="767"/>
      <c r="Z5" s="767"/>
      <c r="AA5" s="764"/>
    </row>
    <row r="6" spans="1:27" ht="19.899999999999999" customHeight="1" x14ac:dyDescent="0.2">
      <c r="A6" s="762"/>
      <c r="B6" s="762"/>
      <c r="C6" s="762"/>
      <c r="D6" s="762"/>
      <c r="E6" s="762"/>
      <c r="F6" s="762"/>
      <c r="G6" s="764"/>
      <c r="H6" s="764"/>
      <c r="I6" s="764"/>
      <c r="J6" s="764"/>
      <c r="K6" s="764"/>
      <c r="L6" s="764"/>
      <c r="M6" s="764"/>
      <c r="N6" s="766"/>
      <c r="O6" s="766"/>
      <c r="P6" s="766"/>
      <c r="Q6" s="766"/>
      <c r="R6" s="766"/>
      <c r="S6" s="766"/>
      <c r="T6" s="766"/>
      <c r="U6" s="766"/>
      <c r="V6" s="764"/>
      <c r="Z6" s="764"/>
      <c r="AA6" s="764"/>
    </row>
    <row r="7" spans="1:27" ht="34.9" customHeight="1" x14ac:dyDescent="0.2">
      <c r="A7" s="761"/>
      <c r="B7" s="762"/>
      <c r="C7" s="762"/>
      <c r="D7" s="762"/>
      <c r="E7" s="768"/>
      <c r="F7" s="763"/>
      <c r="G7" s="763"/>
      <c r="H7" s="763"/>
      <c r="I7" s="763"/>
      <c r="J7" s="763"/>
      <c r="K7" s="926" t="s">
        <v>298</v>
      </c>
      <c r="L7" s="926"/>
      <c r="M7" s="757" t="s">
        <v>33</v>
      </c>
      <c r="O7" s="769" t="s">
        <v>287</v>
      </c>
      <c r="P7" s="763"/>
      <c r="Q7" s="770">
        <f>Rens!C7</f>
        <v>0</v>
      </c>
      <c r="R7" s="770"/>
      <c r="S7" s="762"/>
      <c r="T7" s="766"/>
      <c r="U7" s="766"/>
      <c r="V7" s="771"/>
      <c r="W7" s="766"/>
      <c r="X7" s="764"/>
      <c r="Z7" s="772"/>
      <c r="AA7" s="757"/>
    </row>
    <row r="8" spans="1:27" ht="19.899999999999999" customHeight="1" thickBot="1" x14ac:dyDescent="0.25">
      <c r="A8" s="762"/>
      <c r="B8" s="762"/>
      <c r="C8" s="762"/>
      <c r="D8" s="762"/>
      <c r="E8" s="762"/>
      <c r="F8" s="762"/>
      <c r="G8" s="762"/>
      <c r="H8" s="764"/>
      <c r="I8" s="764"/>
      <c r="J8" s="764"/>
      <c r="K8" s="764"/>
      <c r="L8" s="764"/>
      <c r="M8" s="764"/>
      <c r="N8" s="764"/>
      <c r="O8" s="766"/>
      <c r="P8" s="766"/>
      <c r="Q8" s="766"/>
      <c r="R8" s="766"/>
      <c r="S8" s="766"/>
      <c r="T8" s="766"/>
      <c r="U8" s="766"/>
      <c r="V8" s="766"/>
      <c r="W8" s="766"/>
      <c r="X8" s="764"/>
      <c r="Y8" s="764"/>
      <c r="Z8" s="764"/>
      <c r="AA8" s="773"/>
    </row>
    <row r="9" spans="1:27" ht="19.899999999999999" customHeight="1" thickBot="1" x14ac:dyDescent="0.25">
      <c r="A9" s="774"/>
      <c r="B9" s="774"/>
      <c r="C9" s="898" t="s">
        <v>8</v>
      </c>
      <c r="D9" s="899"/>
      <c r="E9" s="900"/>
      <c r="F9" s="898" t="s">
        <v>16</v>
      </c>
      <c r="G9" s="899"/>
      <c r="H9" s="900"/>
      <c r="I9" s="898" t="s">
        <v>20</v>
      </c>
      <c r="J9" s="899"/>
      <c r="K9" s="899"/>
      <c r="L9" s="899"/>
      <c r="M9" s="899"/>
      <c r="N9" s="900"/>
      <c r="O9" s="898" t="s">
        <v>4</v>
      </c>
      <c r="P9" s="900"/>
      <c r="Q9" s="898" t="s">
        <v>12</v>
      </c>
      <c r="R9" s="899"/>
      <c r="S9" s="899"/>
      <c r="T9" s="899"/>
      <c r="U9" s="899"/>
      <c r="V9" s="899"/>
      <c r="W9" s="899"/>
      <c r="X9" s="899"/>
      <c r="Y9" s="899"/>
      <c r="Z9" s="898" t="s">
        <v>286</v>
      </c>
      <c r="AA9" s="900"/>
    </row>
    <row r="10" spans="1:27" ht="19.899999999999999" customHeight="1" x14ac:dyDescent="0.2">
      <c r="A10" s="936">
        <v>1</v>
      </c>
      <c r="B10" s="937"/>
      <c r="C10" s="942">
        <f>'Poules A-B'!C9</f>
        <v>1</v>
      </c>
      <c r="D10" s="943"/>
      <c r="E10" s="944"/>
      <c r="F10" s="945">
        <f>IF(C10="","",VLOOKUP(C10,liste!$A$9:$G$145,7,FALSE))</f>
        <v>7223059</v>
      </c>
      <c r="G10" s="946" t="e">
        <v>#N/A</v>
      </c>
      <c r="H10" s="947" t="e">
        <v>#N/A</v>
      </c>
      <c r="I10" s="948" t="str">
        <f>IF(C10="","",VLOOKUP(C10,liste!$A$9:$G$145,2,FALSE))</f>
        <v>POIX--DOUILLARD Alexis</v>
      </c>
      <c r="J10" s="949"/>
      <c r="K10" s="949"/>
      <c r="L10" s="949"/>
      <c r="M10" s="949"/>
      <c r="N10" s="950"/>
      <c r="O10" s="951">
        <f>IF(C10="","",VLOOKUP(C10,liste!$A$9:$G$145,4,FALSE))</f>
        <v>5</v>
      </c>
      <c r="P10" s="952" t="s">
        <v>288</v>
      </c>
      <c r="Q10" s="939" t="str">
        <f>IF(C10="","",VLOOKUP(C10,liste!$A$9:$G$145,3,FALSE))</f>
        <v>LE GRAND LUCE USTT</v>
      </c>
      <c r="R10" s="940"/>
      <c r="S10" s="940"/>
      <c r="T10" s="940"/>
      <c r="U10" s="940"/>
      <c r="V10" s="940"/>
      <c r="W10" s="940"/>
      <c r="X10" s="940"/>
      <c r="Y10" s="941"/>
      <c r="Z10" s="911">
        <f>IF(C10="","",VLOOKUP(C10,liste!$A$9:$G$145,6,FALSE))</f>
        <v>500</v>
      </c>
      <c r="AA10" s="912" t="s">
        <v>288</v>
      </c>
    </row>
    <row r="11" spans="1:27" ht="19.899999999999999" customHeight="1" x14ac:dyDescent="0.2">
      <c r="A11" s="913">
        <v>2</v>
      </c>
      <c r="B11" s="914"/>
      <c r="C11" s="915">
        <f>'Poules A-B'!C10</f>
        <v>16</v>
      </c>
      <c r="D11" s="916"/>
      <c r="E11" s="917"/>
      <c r="F11" s="918">
        <f>IF(C11="","",VLOOKUP(C11,liste!$A$9:$G$145,7,FALSE))</f>
        <v>7223268</v>
      </c>
      <c r="G11" s="919" t="e">
        <v>#N/A</v>
      </c>
      <c r="H11" s="920" t="e">
        <v>#N/A</v>
      </c>
      <c r="I11" s="921" t="str">
        <f>IF(C11="","",VLOOKUP(C11,liste!$A$9:$G$145,2,FALSE))</f>
        <v>Bourneuf Tom</v>
      </c>
      <c r="J11" s="922"/>
      <c r="K11" s="922"/>
      <c r="L11" s="922"/>
      <c r="M11" s="922"/>
      <c r="N11" s="923"/>
      <c r="O11" s="901">
        <f>IF(C11="","",VLOOKUP(C11,liste!$A$9:$G$145,4,FALSE))</f>
        <v>5</v>
      </c>
      <c r="P11" s="902" t="s">
        <v>288</v>
      </c>
      <c r="Q11" s="903" t="str">
        <f>IF(C11="","",VLOOKUP(C11,liste!$A$9:$G$145,3,FALSE))</f>
        <v>LA FLECHE</v>
      </c>
      <c r="R11" s="904"/>
      <c r="S11" s="904"/>
      <c r="T11" s="904"/>
      <c r="U11" s="904"/>
      <c r="V11" s="904"/>
      <c r="W11" s="904"/>
      <c r="X11" s="904"/>
      <c r="Y11" s="905"/>
      <c r="Z11" s="911">
        <f>IF(C11="","",VLOOKUP(C11,liste!$A$9:$G$145,6,FALSE))</f>
        <v>500</v>
      </c>
      <c r="AA11" s="912" t="s">
        <v>288</v>
      </c>
    </row>
    <row r="12" spans="1:27" ht="19.899999999999999" customHeight="1" x14ac:dyDescent="0.2">
      <c r="A12" s="913">
        <v>3</v>
      </c>
      <c r="B12" s="914"/>
      <c r="C12" s="915">
        <f>'Poules A-B'!C11</f>
        <v>17</v>
      </c>
      <c r="D12" s="916"/>
      <c r="E12" s="917"/>
      <c r="F12" s="918">
        <f>IF(C12="","",VLOOKUP(C12,liste!$A$9:$G$145,7,FALSE))</f>
        <v>7223056</v>
      </c>
      <c r="G12" s="919" t="e">
        <v>#N/A</v>
      </c>
      <c r="H12" s="920" t="e">
        <v>#N/A</v>
      </c>
      <c r="I12" s="921" t="str">
        <f>IF(C12="","",VLOOKUP(C12,liste!$A$9:$G$145,2,FALSE))</f>
        <v>BEAUDRON Mathias</v>
      </c>
      <c r="J12" s="922"/>
      <c r="K12" s="922"/>
      <c r="L12" s="922"/>
      <c r="M12" s="922"/>
      <c r="N12" s="923"/>
      <c r="O12" s="901">
        <f>IF(C12="","",VLOOKUP(C12,liste!$A$9:$G$145,4,FALSE))</f>
        <v>5</v>
      </c>
      <c r="P12" s="902" t="s">
        <v>288</v>
      </c>
      <c r="Q12" s="903" t="str">
        <f>IF(C12="","",VLOOKUP(C12,liste!$A$9:$G$145,3,FALSE))</f>
        <v>MONCE TENNIS DE TABLE</v>
      </c>
      <c r="R12" s="904"/>
      <c r="S12" s="904"/>
      <c r="T12" s="904"/>
      <c r="U12" s="904"/>
      <c r="V12" s="904"/>
      <c r="W12" s="904"/>
      <c r="X12" s="904"/>
      <c r="Y12" s="905"/>
      <c r="Z12" s="911">
        <f>IF(C12="","",VLOOKUP(C12,liste!$A$9:$G$145,6,FALSE))</f>
        <v>500</v>
      </c>
      <c r="AA12" s="912" t="s">
        <v>288</v>
      </c>
    </row>
    <row r="13" spans="1:27" ht="19.899999999999999" customHeight="1" thickBot="1" x14ac:dyDescent="0.25">
      <c r="A13" s="924">
        <v>4</v>
      </c>
      <c r="B13" s="925"/>
      <c r="C13" s="958">
        <f>'Poules A-B'!C12</f>
        <v>32</v>
      </c>
      <c r="D13" s="959"/>
      <c r="E13" s="960"/>
      <c r="F13" s="955">
        <f>IF(C13="","",VLOOKUP(C13,liste!$A$9:$G$145,7,FALSE))</f>
        <v>0</v>
      </c>
      <c r="G13" s="956" t="e">
        <v>#N/A</v>
      </c>
      <c r="H13" s="957" t="e">
        <v>#N/A</v>
      </c>
      <c r="I13" s="931">
        <f>IF(C13="","",VLOOKUP(C13,liste!$A$9:$G$145,2,FALSE))</f>
        <v>0</v>
      </c>
      <c r="J13" s="932"/>
      <c r="K13" s="932"/>
      <c r="L13" s="932"/>
      <c r="M13" s="932"/>
      <c r="N13" s="933"/>
      <c r="O13" s="906">
        <f>IF(C13="","",VLOOKUP(C13,liste!$A$9:$G$145,4,FALSE))</f>
        <v>0</v>
      </c>
      <c r="P13" s="907" t="s">
        <v>288</v>
      </c>
      <c r="Q13" s="908">
        <f>IF(C13="","",VLOOKUP(C13,liste!$A$9:$G$145,3,FALSE))</f>
        <v>0</v>
      </c>
      <c r="R13" s="909"/>
      <c r="S13" s="909"/>
      <c r="T13" s="909"/>
      <c r="U13" s="909"/>
      <c r="V13" s="909"/>
      <c r="W13" s="909"/>
      <c r="X13" s="909"/>
      <c r="Y13" s="910"/>
      <c r="Z13" s="929">
        <f>IF(C13="","",VLOOKUP(C13,liste!$A$9:$G$145,6,FALSE))</f>
        <v>0</v>
      </c>
      <c r="AA13" s="930" t="s">
        <v>288</v>
      </c>
    </row>
    <row r="14" spans="1:27" ht="19.899999999999999" customHeight="1" x14ac:dyDescent="0.2">
      <c r="A14" s="762"/>
      <c r="B14" s="762"/>
      <c r="C14" s="762"/>
      <c r="D14" s="762"/>
      <c r="E14" s="762"/>
      <c r="F14" s="762"/>
      <c r="G14" s="762"/>
      <c r="H14" s="764"/>
      <c r="I14" s="764"/>
      <c r="J14" s="764"/>
      <c r="K14" s="764"/>
      <c r="L14" s="764"/>
      <c r="M14" s="764"/>
      <c r="N14" s="764"/>
      <c r="O14" s="766"/>
      <c r="P14" s="766"/>
      <c r="Q14" s="766"/>
      <c r="R14" s="766"/>
      <c r="S14" s="766"/>
      <c r="T14" s="766"/>
      <c r="U14" s="766"/>
      <c r="V14" s="766"/>
      <c r="W14" s="766"/>
      <c r="X14" s="764"/>
      <c r="Y14" s="764"/>
      <c r="Z14" s="764"/>
      <c r="AA14" s="764"/>
    </row>
    <row r="15" spans="1:27" ht="34.9" customHeight="1" x14ac:dyDescent="0.2">
      <c r="A15" s="761"/>
      <c r="B15" s="761"/>
      <c r="C15" s="762"/>
      <c r="D15" s="762"/>
      <c r="E15" s="762"/>
      <c r="F15" s="768"/>
      <c r="G15" s="769"/>
      <c r="H15" s="769"/>
      <c r="I15" s="769"/>
      <c r="J15" s="769"/>
      <c r="K15" s="927" t="s">
        <v>2</v>
      </c>
      <c r="L15" s="927"/>
      <c r="M15" s="768" t="s">
        <v>35</v>
      </c>
      <c r="N15" s="757"/>
      <c r="O15" s="769" t="s">
        <v>287</v>
      </c>
      <c r="P15" s="769"/>
      <c r="Q15" s="763">
        <f>Rens!C8</f>
        <v>0</v>
      </c>
      <c r="R15" s="770"/>
      <c r="S15" s="770"/>
      <c r="T15" s="762"/>
      <c r="U15" s="766"/>
      <c r="V15" s="766"/>
      <c r="W15" s="771"/>
      <c r="X15" s="766"/>
      <c r="Y15" s="764"/>
      <c r="AA15" s="772"/>
    </row>
    <row r="16" spans="1:27" ht="19.899999999999999" customHeight="1" thickBot="1" x14ac:dyDescent="0.25">
      <c r="A16" s="762"/>
      <c r="B16" s="762"/>
      <c r="C16" s="762"/>
      <c r="D16" s="762"/>
      <c r="E16" s="762"/>
      <c r="F16" s="762"/>
      <c r="G16" s="762"/>
      <c r="H16" s="764"/>
      <c r="I16" s="764"/>
      <c r="J16" s="764"/>
      <c r="K16" s="764"/>
      <c r="L16" s="764"/>
      <c r="M16" s="764"/>
      <c r="N16" s="764"/>
      <c r="O16" s="766"/>
      <c r="P16" s="766"/>
      <c r="Q16" s="766"/>
      <c r="R16" s="766"/>
      <c r="S16" s="766"/>
      <c r="T16" s="766"/>
      <c r="U16" s="766"/>
      <c r="V16" s="766"/>
      <c r="W16" s="766"/>
      <c r="X16" s="764"/>
      <c r="Y16" s="764"/>
      <c r="Z16" s="764"/>
      <c r="AA16" s="764"/>
    </row>
    <row r="17" spans="1:27" ht="19.899999999999999" customHeight="1" thickBot="1" x14ac:dyDescent="0.25">
      <c r="A17" s="774"/>
      <c r="B17" s="774"/>
      <c r="C17" s="898" t="s">
        <v>8</v>
      </c>
      <c r="D17" s="899"/>
      <c r="E17" s="900"/>
      <c r="F17" s="898" t="s">
        <v>16</v>
      </c>
      <c r="G17" s="899"/>
      <c r="H17" s="900"/>
      <c r="I17" s="898" t="s">
        <v>20</v>
      </c>
      <c r="J17" s="899"/>
      <c r="K17" s="899"/>
      <c r="L17" s="899"/>
      <c r="M17" s="899"/>
      <c r="N17" s="900"/>
      <c r="O17" s="898" t="s">
        <v>4</v>
      </c>
      <c r="P17" s="900"/>
      <c r="Q17" s="898" t="s">
        <v>12</v>
      </c>
      <c r="R17" s="899"/>
      <c r="S17" s="899"/>
      <c r="T17" s="899"/>
      <c r="U17" s="899"/>
      <c r="V17" s="899"/>
      <c r="W17" s="899"/>
      <c r="X17" s="899"/>
      <c r="Y17" s="899"/>
      <c r="Z17" s="934" t="s">
        <v>286</v>
      </c>
      <c r="AA17" s="935"/>
    </row>
    <row r="18" spans="1:27" ht="19.899999999999999" customHeight="1" x14ac:dyDescent="0.2">
      <c r="A18" s="936">
        <v>1</v>
      </c>
      <c r="B18" s="937"/>
      <c r="C18" s="942">
        <f>'Poules A-B'!C38</f>
        <v>2</v>
      </c>
      <c r="D18" s="943"/>
      <c r="E18" s="944"/>
      <c r="F18" s="945">
        <f>IF(C18="","",VLOOKUP(C18,liste!$A$9:$G$145,7,FALSE))</f>
        <v>7223092</v>
      </c>
      <c r="G18" s="946" t="e">
        <v>#N/A</v>
      </c>
      <c r="H18" s="947" t="e">
        <v>#N/A</v>
      </c>
      <c r="I18" s="948" t="str">
        <f>IF(C18="","",VLOOKUP(C18,liste!$A$9:$G$145,2,FALSE))</f>
        <v>HATTON Pierre</v>
      </c>
      <c r="J18" s="949"/>
      <c r="K18" s="949"/>
      <c r="L18" s="949"/>
      <c r="M18" s="949"/>
      <c r="N18" s="950"/>
      <c r="O18" s="951">
        <f>IF(C18="","",VLOOKUP(C18,liste!$A$9:$G$145,4,FALSE))</f>
        <v>5</v>
      </c>
      <c r="P18" s="952" t="s">
        <v>288</v>
      </c>
      <c r="Q18" s="939" t="str">
        <f>IF(C18="","",VLOOKUP(C18,liste!$A$9:$G$145,3,FALSE))</f>
        <v>LAIGNE ST GERVAIS CO</v>
      </c>
      <c r="R18" s="940"/>
      <c r="S18" s="940"/>
      <c r="T18" s="940"/>
      <c r="U18" s="940"/>
      <c r="V18" s="940"/>
      <c r="W18" s="940"/>
      <c r="X18" s="940"/>
      <c r="Y18" s="941"/>
      <c r="Z18" s="953">
        <f>IF(C18="","",VLOOKUP(C18,liste!$A$9:$G$145,6,FALSE))</f>
        <v>500</v>
      </c>
      <c r="AA18" s="954" t="s">
        <v>288</v>
      </c>
    </row>
    <row r="19" spans="1:27" ht="19.899999999999999" customHeight="1" x14ac:dyDescent="0.2">
      <c r="A19" s="913">
        <v>2</v>
      </c>
      <c r="B19" s="914"/>
      <c r="C19" s="915">
        <f>'Poules A-B'!C39</f>
        <v>15</v>
      </c>
      <c r="D19" s="916"/>
      <c r="E19" s="917"/>
      <c r="F19" s="918">
        <f>IF(C19="","",VLOOKUP(C19,liste!$A$9:$G$145,7,FALSE))</f>
        <v>7223034</v>
      </c>
      <c r="G19" s="919" t="e">
        <v>#N/A</v>
      </c>
      <c r="H19" s="920" t="e">
        <v>#N/A</v>
      </c>
      <c r="I19" s="921" t="str">
        <f>IF(C19="","",VLOOKUP(C19,liste!$A$9:$G$145,2,FALSE))</f>
        <v>GILOUPPE Louis</v>
      </c>
      <c r="J19" s="922"/>
      <c r="K19" s="922"/>
      <c r="L19" s="922"/>
      <c r="M19" s="922"/>
      <c r="N19" s="923"/>
      <c r="O19" s="901">
        <f>IF(C19="","",VLOOKUP(C19,liste!$A$9:$G$145,4,FALSE))</f>
        <v>5</v>
      </c>
      <c r="P19" s="902" t="s">
        <v>288</v>
      </c>
      <c r="Q19" s="903" t="str">
        <f>IF(C19="","",VLOOKUP(C19,liste!$A$9:$G$145,3,FALSE))</f>
        <v>FOULLETOURTE T.T.</v>
      </c>
      <c r="R19" s="904"/>
      <c r="S19" s="904"/>
      <c r="T19" s="904"/>
      <c r="U19" s="904"/>
      <c r="V19" s="904"/>
      <c r="W19" s="904"/>
      <c r="X19" s="904"/>
      <c r="Y19" s="905"/>
      <c r="Z19" s="911">
        <f>IF(C19="","",VLOOKUP(C19,liste!$A$9:$G$145,6,FALSE))</f>
        <v>500</v>
      </c>
      <c r="AA19" s="912" t="s">
        <v>288</v>
      </c>
    </row>
    <row r="20" spans="1:27" ht="19.899999999999999" customHeight="1" x14ac:dyDescent="0.2">
      <c r="A20" s="913">
        <v>3</v>
      </c>
      <c r="B20" s="914"/>
      <c r="C20" s="915">
        <f>'Poules A-B'!C40</f>
        <v>18</v>
      </c>
      <c r="D20" s="916"/>
      <c r="E20" s="917"/>
      <c r="F20" s="918">
        <f>IF(C20="","",VLOOKUP(C20,liste!$A$9:$G$145,7,FALSE))</f>
        <v>7223616</v>
      </c>
      <c r="G20" s="919" t="e">
        <v>#N/A</v>
      </c>
      <c r="H20" s="920" t="e">
        <v>#N/A</v>
      </c>
      <c r="I20" s="921" t="str">
        <f>IF(C20="","",VLOOKUP(C20,liste!$A$9:$G$145,2,FALSE))</f>
        <v>CARRE Zoé</v>
      </c>
      <c r="J20" s="922"/>
      <c r="K20" s="922"/>
      <c r="L20" s="922"/>
      <c r="M20" s="922"/>
      <c r="N20" s="923"/>
      <c r="O20" s="901">
        <f>IF(C20="","",VLOOKUP(C20,liste!$A$9:$G$145,4,FALSE))</f>
        <v>5</v>
      </c>
      <c r="P20" s="902" t="s">
        <v>288</v>
      </c>
      <c r="Q20" s="903" t="str">
        <f>IF(C20="","",VLOOKUP(C20,liste!$A$9:$G$145,3,FALSE))</f>
        <v>FERCE US</v>
      </c>
      <c r="R20" s="904"/>
      <c r="S20" s="904"/>
      <c r="T20" s="904"/>
      <c r="U20" s="904"/>
      <c r="V20" s="904"/>
      <c r="W20" s="904"/>
      <c r="X20" s="904"/>
      <c r="Y20" s="905"/>
      <c r="Z20" s="911">
        <f>IF(C20="","",VLOOKUP(C20,liste!$A$9:$G$145,6,FALSE))</f>
        <v>500</v>
      </c>
      <c r="AA20" s="912" t="s">
        <v>288</v>
      </c>
    </row>
    <row r="21" spans="1:27" ht="19.899999999999999" customHeight="1" thickBot="1" x14ac:dyDescent="0.25">
      <c r="A21" s="924">
        <v>4</v>
      </c>
      <c r="B21" s="925"/>
      <c r="C21" s="958">
        <f>'Poules A-B'!C41</f>
        <v>31</v>
      </c>
      <c r="D21" s="959"/>
      <c r="E21" s="960"/>
      <c r="F21" s="955">
        <f>IF(C21="","",VLOOKUP(C21,liste!$A$9:$G$145,7,FALSE))</f>
        <v>0</v>
      </c>
      <c r="G21" s="956" t="e">
        <v>#N/A</v>
      </c>
      <c r="H21" s="957" t="e">
        <v>#N/A</v>
      </c>
      <c r="I21" s="931">
        <f>IF(C21="","",VLOOKUP(C21,liste!$A$9:$G$145,2,FALSE))</f>
        <v>0</v>
      </c>
      <c r="J21" s="932"/>
      <c r="K21" s="932"/>
      <c r="L21" s="932"/>
      <c r="M21" s="932"/>
      <c r="N21" s="933"/>
      <c r="O21" s="906">
        <f>IF(C21="","",VLOOKUP(C21,liste!$A$9:$G$145,4,FALSE))</f>
        <v>0</v>
      </c>
      <c r="P21" s="907" t="s">
        <v>288</v>
      </c>
      <c r="Q21" s="908">
        <f>IF(C21="","",VLOOKUP(C21,liste!$A$9:$G$145,3,FALSE))</f>
        <v>0</v>
      </c>
      <c r="R21" s="909"/>
      <c r="S21" s="909"/>
      <c r="T21" s="909"/>
      <c r="U21" s="909"/>
      <c r="V21" s="909"/>
      <c r="W21" s="909"/>
      <c r="X21" s="909"/>
      <c r="Y21" s="910"/>
      <c r="Z21" s="929">
        <f>IF(C21="","",VLOOKUP(C21,liste!$A$9:$G$145,6,FALSE))</f>
        <v>0</v>
      </c>
      <c r="AA21" s="930" t="s">
        <v>288</v>
      </c>
    </row>
    <row r="22" spans="1:27" ht="19.899999999999999" customHeight="1" x14ac:dyDescent="0.2">
      <c r="A22" s="762"/>
      <c r="B22" s="762"/>
      <c r="C22" s="762"/>
      <c r="D22" s="762"/>
      <c r="E22" s="762"/>
      <c r="F22" s="762"/>
      <c r="G22" s="762"/>
      <c r="H22" s="764"/>
      <c r="I22" s="764"/>
      <c r="J22" s="764"/>
      <c r="K22" s="764"/>
      <c r="L22" s="764"/>
      <c r="M22" s="764"/>
      <c r="N22" s="764"/>
      <c r="O22" s="766"/>
      <c r="P22" s="766"/>
      <c r="Q22" s="766"/>
      <c r="R22" s="766"/>
      <c r="S22" s="766"/>
      <c r="T22" s="766"/>
      <c r="U22" s="766"/>
      <c r="V22" s="766"/>
      <c r="W22" s="766"/>
      <c r="X22" s="764"/>
      <c r="Y22" s="764"/>
      <c r="Z22" s="764"/>
      <c r="AA22" s="764"/>
    </row>
    <row r="23" spans="1:27" ht="34.9" customHeight="1" x14ac:dyDescent="0.2">
      <c r="A23" s="761"/>
      <c r="B23" s="762"/>
      <c r="C23" s="762"/>
      <c r="D23" s="762"/>
      <c r="E23" s="768"/>
      <c r="F23" s="769"/>
      <c r="G23" s="769"/>
      <c r="H23" s="769"/>
      <c r="I23" s="769"/>
      <c r="J23" s="769"/>
      <c r="K23" s="926" t="s">
        <v>2</v>
      </c>
      <c r="L23" s="926"/>
      <c r="M23" s="757" t="s">
        <v>36</v>
      </c>
      <c r="O23" s="769" t="s">
        <v>287</v>
      </c>
      <c r="P23" s="762"/>
      <c r="Q23" s="770">
        <f>Rens!C9</f>
        <v>0</v>
      </c>
      <c r="R23" s="770"/>
      <c r="S23" s="762"/>
      <c r="T23" s="766"/>
      <c r="U23" s="766"/>
      <c r="V23" s="764"/>
      <c r="W23" s="766"/>
      <c r="X23" s="764"/>
      <c r="Z23" s="772"/>
      <c r="AA23" s="757"/>
    </row>
    <row r="24" spans="1:27" ht="19.899999999999999" customHeight="1" thickBot="1" x14ac:dyDescent="0.25">
      <c r="A24" s="762"/>
      <c r="B24" s="762"/>
      <c r="C24" s="762"/>
      <c r="D24" s="762"/>
      <c r="E24" s="762"/>
      <c r="F24" s="762"/>
      <c r="G24" s="762"/>
      <c r="H24" s="764"/>
      <c r="I24" s="764"/>
      <c r="J24" s="764"/>
      <c r="K24" s="764"/>
      <c r="L24" s="764"/>
      <c r="M24" s="764"/>
      <c r="N24" s="764"/>
      <c r="O24" s="766"/>
      <c r="P24" s="766"/>
      <c r="Q24" s="766"/>
      <c r="R24" s="766"/>
      <c r="S24" s="766"/>
      <c r="T24" s="766"/>
      <c r="U24" s="766"/>
      <c r="V24" s="766"/>
      <c r="W24" s="766"/>
      <c r="X24" s="764"/>
      <c r="Y24" s="764"/>
      <c r="Z24" s="764"/>
      <c r="AA24" s="773"/>
    </row>
    <row r="25" spans="1:27" ht="19.899999999999999" customHeight="1" thickBot="1" x14ac:dyDescent="0.25">
      <c r="A25" s="774"/>
      <c r="B25" s="774"/>
      <c r="C25" s="898" t="s">
        <v>8</v>
      </c>
      <c r="D25" s="899"/>
      <c r="E25" s="900"/>
      <c r="F25" s="898" t="s">
        <v>16</v>
      </c>
      <c r="G25" s="899"/>
      <c r="H25" s="900"/>
      <c r="I25" s="898" t="s">
        <v>20</v>
      </c>
      <c r="J25" s="899"/>
      <c r="K25" s="899"/>
      <c r="L25" s="899"/>
      <c r="M25" s="899"/>
      <c r="N25" s="900"/>
      <c r="O25" s="898" t="s">
        <v>4</v>
      </c>
      <c r="P25" s="900"/>
      <c r="Q25" s="898" t="s">
        <v>12</v>
      </c>
      <c r="R25" s="899"/>
      <c r="S25" s="899"/>
      <c r="T25" s="899"/>
      <c r="U25" s="899"/>
      <c r="V25" s="899"/>
      <c r="W25" s="899"/>
      <c r="X25" s="899"/>
      <c r="Y25" s="899"/>
      <c r="Z25" s="898" t="s">
        <v>286</v>
      </c>
      <c r="AA25" s="900"/>
    </row>
    <row r="26" spans="1:27" ht="19.899999999999999" customHeight="1" x14ac:dyDescent="0.2">
      <c r="A26" s="936">
        <v>1</v>
      </c>
      <c r="B26" s="937"/>
      <c r="C26" s="942">
        <f>'Poules C-D'!$C$9</f>
        <v>3</v>
      </c>
      <c r="D26" s="943"/>
      <c r="E26" s="944"/>
      <c r="F26" s="945">
        <f>IF(C26="","",VLOOKUP(C26,liste!$A$9:$G$145,7,FALSE))</f>
        <v>7223284</v>
      </c>
      <c r="G26" s="946" t="e">
        <v>#N/A</v>
      </c>
      <c r="H26" s="947" t="e">
        <v>#N/A</v>
      </c>
      <c r="I26" s="948" t="str">
        <f>IF(C26="","",VLOOKUP(C26,liste!$A$9:$G$145,2,FALSE))</f>
        <v>PORTEBOEUF Louis</v>
      </c>
      <c r="J26" s="949"/>
      <c r="K26" s="949"/>
      <c r="L26" s="949"/>
      <c r="M26" s="949"/>
      <c r="N26" s="950"/>
      <c r="O26" s="951">
        <f>IF(C26="","",VLOOKUP(C26,liste!$A$9:$G$145,4,FALSE))</f>
        <v>5</v>
      </c>
      <c r="P26" s="952" t="s">
        <v>288</v>
      </c>
      <c r="Q26" s="939" t="str">
        <f>IF(C26="","",VLOOKUP(C26,liste!$A$9:$G$145,3,FALSE))</f>
        <v>LAIGNE ST GERVAIS CO</v>
      </c>
      <c r="R26" s="940"/>
      <c r="S26" s="940"/>
      <c r="T26" s="940"/>
      <c r="U26" s="940"/>
      <c r="V26" s="940"/>
      <c r="W26" s="940"/>
      <c r="X26" s="940"/>
      <c r="Y26" s="941"/>
      <c r="Z26" s="911">
        <f>IF(C26="","",VLOOKUP(C26,liste!$A$9:$G$145,6,FALSE))</f>
        <v>500</v>
      </c>
      <c r="AA26" s="912" t="s">
        <v>288</v>
      </c>
    </row>
    <row r="27" spans="1:27" ht="19.899999999999999" customHeight="1" x14ac:dyDescent="0.2">
      <c r="A27" s="913">
        <v>2</v>
      </c>
      <c r="B27" s="914"/>
      <c r="C27" s="915">
        <f>'Poules C-D'!$C$10</f>
        <v>14</v>
      </c>
      <c r="D27" s="916"/>
      <c r="E27" s="917"/>
      <c r="F27" s="918">
        <f>IF(C27="","",VLOOKUP(C27,liste!$A$9:$G$145,7,FALSE))</f>
        <v>7223235</v>
      </c>
      <c r="G27" s="919" t="e">
        <v>#N/A</v>
      </c>
      <c r="H27" s="920" t="e">
        <v>#N/A</v>
      </c>
      <c r="I27" s="921" t="str">
        <f>IF(C27="","",VLOOKUP(C27,liste!$A$9:$G$145,2,FALSE))</f>
        <v>TARROUX Chloe</v>
      </c>
      <c r="J27" s="922"/>
      <c r="K27" s="922"/>
      <c r="L27" s="922"/>
      <c r="M27" s="922"/>
      <c r="N27" s="923"/>
      <c r="O27" s="901">
        <f>IF(C27="","",VLOOKUP(C27,liste!$A$9:$G$145,4,FALSE))</f>
        <v>5</v>
      </c>
      <c r="P27" s="902" t="s">
        <v>288</v>
      </c>
      <c r="Q27" s="903" t="str">
        <f>IF(C27="","",VLOOKUP(C27,liste!$A$9:$G$145,3,FALSE))</f>
        <v>MONTFORT TT</v>
      </c>
      <c r="R27" s="904"/>
      <c r="S27" s="904"/>
      <c r="T27" s="904"/>
      <c r="U27" s="904"/>
      <c r="V27" s="904"/>
      <c r="W27" s="904"/>
      <c r="X27" s="904"/>
      <c r="Y27" s="905"/>
      <c r="Z27" s="911">
        <f>IF(C27="","",VLOOKUP(C27,liste!$A$9:$G$145,6,FALSE))</f>
        <v>500</v>
      </c>
      <c r="AA27" s="912" t="s">
        <v>288</v>
      </c>
    </row>
    <row r="28" spans="1:27" ht="19.899999999999999" customHeight="1" x14ac:dyDescent="0.2">
      <c r="A28" s="913">
        <v>3</v>
      </c>
      <c r="B28" s="914"/>
      <c r="C28" s="915">
        <f>'Poules C-D'!$C$11</f>
        <v>19</v>
      </c>
      <c r="D28" s="916"/>
      <c r="E28" s="917"/>
      <c r="F28" s="918">
        <f>IF(C28="","",VLOOKUP(C28,liste!$A$9:$G$145,7,FALSE))</f>
        <v>7223344</v>
      </c>
      <c r="G28" s="919" t="e">
        <v>#N/A</v>
      </c>
      <c r="H28" s="920" t="e">
        <v>#N/A</v>
      </c>
      <c r="I28" s="921" t="str">
        <f>IF(C28="","",VLOOKUP(C28,liste!$A$9:$G$145,2,FALSE))</f>
        <v xml:space="preserve">Maurice Loic </v>
      </c>
      <c r="J28" s="922"/>
      <c r="K28" s="922"/>
      <c r="L28" s="922"/>
      <c r="M28" s="922"/>
      <c r="N28" s="923"/>
      <c r="O28" s="901">
        <f>IF(C28="","",VLOOKUP(C28,liste!$A$9:$G$145,4,FALSE))</f>
        <v>5</v>
      </c>
      <c r="P28" s="902" t="s">
        <v>288</v>
      </c>
      <c r="Q28" s="903" t="str">
        <f>IF(C28="","",VLOOKUP(C28,liste!$A$9:$G$145,3,FALSE))</f>
        <v>Savigné</v>
      </c>
      <c r="R28" s="904"/>
      <c r="S28" s="904"/>
      <c r="T28" s="904"/>
      <c r="U28" s="904"/>
      <c r="V28" s="904"/>
      <c r="W28" s="904"/>
      <c r="X28" s="904"/>
      <c r="Y28" s="905"/>
      <c r="Z28" s="911">
        <f>IF(C28="","",VLOOKUP(C28,liste!$A$9:$G$145,6,FALSE))</f>
        <v>500</v>
      </c>
      <c r="AA28" s="912" t="s">
        <v>288</v>
      </c>
    </row>
    <row r="29" spans="1:27" ht="19.899999999999999" customHeight="1" thickBot="1" x14ac:dyDescent="0.25">
      <c r="A29" s="924">
        <v>4</v>
      </c>
      <c r="B29" s="925"/>
      <c r="C29" s="958">
        <f>'Poules C-D'!$C$12</f>
        <v>30</v>
      </c>
      <c r="D29" s="959"/>
      <c r="E29" s="960"/>
      <c r="F29" s="955">
        <f>IF(C29="","",VLOOKUP(C29,liste!$A$9:$G$145,7,FALSE))</f>
        <v>0</v>
      </c>
      <c r="G29" s="956" t="e">
        <v>#N/A</v>
      </c>
      <c r="H29" s="957" t="e">
        <v>#N/A</v>
      </c>
      <c r="I29" s="931">
        <f>IF(C29="","",VLOOKUP(C29,liste!$A$9:$G$145,2,FALSE))</f>
        <v>0</v>
      </c>
      <c r="J29" s="932"/>
      <c r="K29" s="932"/>
      <c r="L29" s="932"/>
      <c r="M29" s="932"/>
      <c r="N29" s="933"/>
      <c r="O29" s="906">
        <f>IF(C29="","",VLOOKUP(C29,liste!$A$9:$G$145,4,FALSE))</f>
        <v>0</v>
      </c>
      <c r="P29" s="907" t="s">
        <v>288</v>
      </c>
      <c r="Q29" s="908">
        <f>IF(C29="","",VLOOKUP(C29,liste!$A$9:$G$145,3,FALSE))</f>
        <v>0</v>
      </c>
      <c r="R29" s="909"/>
      <c r="S29" s="909"/>
      <c r="T29" s="909"/>
      <c r="U29" s="909"/>
      <c r="V29" s="909"/>
      <c r="W29" s="909"/>
      <c r="X29" s="909"/>
      <c r="Y29" s="910"/>
      <c r="Z29" s="929">
        <f>IF(C29="","",VLOOKUP(C29,liste!$A$9:$G$145,6,FALSE))</f>
        <v>0</v>
      </c>
      <c r="AA29" s="930" t="s">
        <v>288</v>
      </c>
    </row>
    <row r="30" spans="1:27" ht="19.899999999999999" customHeight="1" x14ac:dyDescent="0.2">
      <c r="A30" s="762"/>
      <c r="B30" s="762"/>
      <c r="C30" s="762"/>
      <c r="D30" s="762"/>
      <c r="E30" s="762"/>
      <c r="F30" s="762"/>
      <c r="G30" s="762"/>
      <c r="H30" s="764"/>
      <c r="I30" s="764"/>
      <c r="J30" s="764"/>
      <c r="K30" s="764"/>
      <c r="L30" s="764"/>
      <c r="M30" s="764"/>
      <c r="N30" s="764"/>
      <c r="O30" s="766"/>
      <c r="P30" s="766"/>
      <c r="Q30" s="766"/>
      <c r="R30" s="766"/>
      <c r="S30" s="766"/>
      <c r="T30" s="766"/>
      <c r="U30" s="766"/>
      <c r="V30" s="766"/>
      <c r="W30" s="766"/>
      <c r="X30" s="764"/>
      <c r="Y30" s="764"/>
      <c r="Z30" s="764"/>
      <c r="AA30" s="764"/>
    </row>
    <row r="31" spans="1:27" ht="34.9" customHeight="1" x14ac:dyDescent="0.2">
      <c r="A31" s="761"/>
      <c r="B31" s="762"/>
      <c r="C31" s="762"/>
      <c r="D31" s="762"/>
      <c r="E31" s="768"/>
      <c r="F31" s="769"/>
      <c r="G31" s="769"/>
      <c r="H31" s="769"/>
      <c r="I31" s="769"/>
      <c r="J31" s="769"/>
      <c r="K31" s="926" t="s">
        <v>2</v>
      </c>
      <c r="L31" s="926"/>
      <c r="M31" s="757" t="s">
        <v>61</v>
      </c>
      <c r="N31" s="757"/>
      <c r="O31" s="769" t="s">
        <v>287</v>
      </c>
      <c r="P31" s="762"/>
      <c r="Q31" s="770">
        <f>Rens!C10</f>
        <v>0</v>
      </c>
      <c r="R31" s="770"/>
      <c r="S31" s="762"/>
      <c r="T31" s="766"/>
      <c r="U31" s="766"/>
      <c r="V31" s="764"/>
      <c r="W31" s="766"/>
      <c r="X31" s="764"/>
      <c r="Z31" s="772"/>
      <c r="AA31" s="757"/>
    </row>
    <row r="32" spans="1:27" ht="19.899999999999999" customHeight="1" thickBot="1" x14ac:dyDescent="0.25">
      <c r="A32" s="762"/>
      <c r="B32" s="762"/>
      <c r="C32" s="762"/>
      <c r="D32" s="762"/>
      <c r="E32" s="762"/>
      <c r="F32" s="762"/>
      <c r="G32" s="762"/>
      <c r="H32" s="764"/>
      <c r="I32" s="764"/>
      <c r="J32" s="764"/>
      <c r="K32" s="764"/>
      <c r="L32" s="764"/>
      <c r="M32" s="764"/>
      <c r="N32" s="764"/>
      <c r="O32" s="766"/>
      <c r="P32" s="766"/>
      <c r="Q32" s="766"/>
      <c r="R32" s="766"/>
      <c r="S32" s="766"/>
      <c r="T32" s="766"/>
      <c r="U32" s="766"/>
      <c r="V32" s="766"/>
      <c r="W32" s="766"/>
      <c r="X32" s="764"/>
      <c r="Y32" s="764"/>
      <c r="Z32" s="764"/>
      <c r="AA32" s="773"/>
    </row>
    <row r="33" spans="1:28" ht="19.899999999999999" customHeight="1" thickBot="1" x14ac:dyDescent="0.25">
      <c r="A33" s="774"/>
      <c r="B33" s="774"/>
      <c r="C33" s="898" t="s">
        <v>8</v>
      </c>
      <c r="D33" s="899"/>
      <c r="E33" s="900"/>
      <c r="F33" s="898" t="s">
        <v>16</v>
      </c>
      <c r="G33" s="899"/>
      <c r="H33" s="900"/>
      <c r="I33" s="898" t="s">
        <v>20</v>
      </c>
      <c r="J33" s="899"/>
      <c r="K33" s="899"/>
      <c r="L33" s="899"/>
      <c r="M33" s="899"/>
      <c r="N33" s="900"/>
      <c r="O33" s="898" t="s">
        <v>4</v>
      </c>
      <c r="P33" s="900"/>
      <c r="Q33" s="898" t="s">
        <v>12</v>
      </c>
      <c r="R33" s="899"/>
      <c r="S33" s="899"/>
      <c r="T33" s="899"/>
      <c r="U33" s="899"/>
      <c r="V33" s="899"/>
      <c r="W33" s="899"/>
      <c r="X33" s="899"/>
      <c r="Y33" s="899"/>
      <c r="Z33" s="898" t="s">
        <v>286</v>
      </c>
      <c r="AA33" s="900"/>
    </row>
    <row r="34" spans="1:28" ht="19.899999999999999" customHeight="1" x14ac:dyDescent="0.2">
      <c r="A34" s="936">
        <v>1</v>
      </c>
      <c r="B34" s="937"/>
      <c r="C34" s="942">
        <f>'Poules C-D'!$C$38</f>
        <v>4</v>
      </c>
      <c r="D34" s="943"/>
      <c r="E34" s="944"/>
      <c r="F34" s="945">
        <f>IF(C34="","",VLOOKUP(C34,liste!$A$9:$G$145,7,FALSE))</f>
        <v>7223188</v>
      </c>
      <c r="G34" s="946" t="e">
        <v>#N/A</v>
      </c>
      <c r="H34" s="947" t="e">
        <v>#N/A</v>
      </c>
      <c r="I34" s="948" t="str">
        <f>IF(C34="","",VLOOKUP(C34,liste!$A$9:$G$145,2,FALSE))</f>
        <v>MARCHAIS Théo</v>
      </c>
      <c r="J34" s="949"/>
      <c r="K34" s="949"/>
      <c r="L34" s="949"/>
      <c r="M34" s="949"/>
      <c r="N34" s="950"/>
      <c r="O34" s="951">
        <f>IF(C34="","",VLOOKUP(C34,liste!$A$9:$G$145,4,FALSE))</f>
        <v>5</v>
      </c>
      <c r="P34" s="952" t="s">
        <v>288</v>
      </c>
      <c r="Q34" s="939" t="str">
        <f>IF(C34="","",VLOOKUP(C34,liste!$A$9:$G$145,3,FALSE))</f>
        <v>RUAUDIN TENNIS DE TABLE</v>
      </c>
      <c r="R34" s="940"/>
      <c r="S34" s="940"/>
      <c r="T34" s="940"/>
      <c r="U34" s="940"/>
      <c r="V34" s="940"/>
      <c r="W34" s="940"/>
      <c r="X34" s="940"/>
      <c r="Y34" s="941"/>
      <c r="Z34" s="911">
        <f>IF(C34="","",VLOOKUP(C34,liste!$A$9:$G$145,6,FALSE))</f>
        <v>500</v>
      </c>
      <c r="AA34" s="912" t="s">
        <v>288</v>
      </c>
    </row>
    <row r="35" spans="1:28" ht="19.899999999999999" customHeight="1" x14ac:dyDescent="0.2">
      <c r="A35" s="913">
        <v>2</v>
      </c>
      <c r="B35" s="914"/>
      <c r="C35" s="915">
        <f>'Poules C-D'!$C$39</f>
        <v>13</v>
      </c>
      <c r="D35" s="916"/>
      <c r="E35" s="917"/>
      <c r="F35" s="918">
        <f>IF(C35="","",VLOOKUP(C35,liste!$A$9:$G$145,7,FALSE))</f>
        <v>7223178</v>
      </c>
      <c r="G35" s="919" t="e">
        <v>#N/A</v>
      </c>
      <c r="H35" s="920" t="e">
        <v>#N/A</v>
      </c>
      <c r="I35" s="921" t="str">
        <f>IF(C35="","",VLOOKUP(C35,liste!$A$9:$G$145,2,FALSE))</f>
        <v>MANDOTE Jean</v>
      </c>
      <c r="J35" s="922"/>
      <c r="K35" s="922"/>
      <c r="L35" s="922"/>
      <c r="M35" s="922"/>
      <c r="N35" s="923"/>
      <c r="O35" s="901">
        <f>IF(C35="","",VLOOKUP(C35,liste!$A$9:$G$145,4,FALSE))</f>
        <v>5</v>
      </c>
      <c r="P35" s="902" t="s">
        <v>288</v>
      </c>
      <c r="Q35" s="903" t="str">
        <f>IF(C35="","",VLOOKUP(C35,liste!$A$9:$G$145,3,FALSE))</f>
        <v>FOULLETOURTE T.T.</v>
      </c>
      <c r="R35" s="904"/>
      <c r="S35" s="904"/>
      <c r="T35" s="904"/>
      <c r="U35" s="904"/>
      <c r="V35" s="904"/>
      <c r="W35" s="904"/>
      <c r="X35" s="904"/>
      <c r="Y35" s="905"/>
      <c r="Z35" s="911">
        <f>IF(C35="","",VLOOKUP(C35,liste!$A$9:$G$145,6,FALSE))</f>
        <v>500</v>
      </c>
      <c r="AA35" s="912" t="s">
        <v>288</v>
      </c>
    </row>
    <row r="36" spans="1:28" ht="19.899999999999999" customHeight="1" x14ac:dyDescent="0.2">
      <c r="A36" s="913">
        <v>3</v>
      </c>
      <c r="B36" s="914"/>
      <c r="C36" s="915">
        <f>'Poules C-D'!$C$40</f>
        <v>20</v>
      </c>
      <c r="D36" s="916"/>
      <c r="E36" s="917"/>
      <c r="F36" s="918">
        <f>IF(C36="","",VLOOKUP(C36,liste!$A$9:$G$145,7,FALSE))</f>
        <v>7223665</v>
      </c>
      <c r="G36" s="919" t="e">
        <v>#N/A</v>
      </c>
      <c r="H36" s="920" t="e">
        <v>#N/A</v>
      </c>
      <c r="I36" s="921" t="str">
        <f>IF(C36="","",VLOOKUP(C36,liste!$A$9:$G$145,2,FALSE))</f>
        <v>XAVIER Hugo</v>
      </c>
      <c r="J36" s="922"/>
      <c r="K36" s="922"/>
      <c r="L36" s="922"/>
      <c r="M36" s="922"/>
      <c r="N36" s="923"/>
      <c r="O36" s="901">
        <f>IF(C36="","",VLOOKUP(C36,liste!$A$9:$G$145,4,FALSE))</f>
        <v>5</v>
      </c>
      <c r="P36" s="902" t="s">
        <v>288</v>
      </c>
      <c r="Q36" s="903" t="str">
        <f>IF(C36="","",VLOOKUP(C36,liste!$A$9:$G$145,3,FALSE))</f>
        <v>CHANGE TT</v>
      </c>
      <c r="R36" s="904"/>
      <c r="S36" s="904"/>
      <c r="T36" s="904"/>
      <c r="U36" s="904"/>
      <c r="V36" s="904"/>
      <c r="W36" s="904"/>
      <c r="X36" s="904"/>
      <c r="Y36" s="905"/>
      <c r="Z36" s="911">
        <f>IF(C36="","",VLOOKUP(C36,liste!$A$9:$G$145,6,FALSE))</f>
        <v>500</v>
      </c>
      <c r="AA36" s="912" t="s">
        <v>288</v>
      </c>
    </row>
    <row r="37" spans="1:28" ht="19.899999999999999" customHeight="1" thickBot="1" x14ac:dyDescent="0.25">
      <c r="A37" s="924">
        <v>4</v>
      </c>
      <c r="B37" s="925"/>
      <c r="C37" s="958">
        <f>'Poules C-D'!$C$41</f>
        <v>29</v>
      </c>
      <c r="D37" s="959"/>
      <c r="E37" s="960"/>
      <c r="F37" s="955">
        <f>IF(C37="","",VLOOKUP(C37,liste!$A$9:$G$145,7,FALSE))</f>
        <v>0</v>
      </c>
      <c r="G37" s="956" t="e">
        <v>#N/A</v>
      </c>
      <c r="H37" s="957" t="e">
        <v>#N/A</v>
      </c>
      <c r="I37" s="931">
        <f>IF(C37="","",VLOOKUP(C37,liste!$A$9:$G$145,2,FALSE))</f>
        <v>0</v>
      </c>
      <c r="J37" s="932"/>
      <c r="K37" s="932"/>
      <c r="L37" s="932"/>
      <c r="M37" s="932"/>
      <c r="N37" s="933"/>
      <c r="O37" s="906">
        <f>IF(C37="","",VLOOKUP(C37,liste!$A$9:$G$145,4,FALSE))</f>
        <v>0</v>
      </c>
      <c r="P37" s="907" t="s">
        <v>288</v>
      </c>
      <c r="Q37" s="908">
        <f>IF(C37="","",VLOOKUP(C37,liste!$A$9:$G$145,3,FALSE))</f>
        <v>0</v>
      </c>
      <c r="R37" s="909"/>
      <c r="S37" s="909"/>
      <c r="T37" s="909"/>
      <c r="U37" s="909"/>
      <c r="V37" s="909"/>
      <c r="W37" s="909"/>
      <c r="X37" s="909"/>
      <c r="Y37" s="910"/>
      <c r="Z37" s="929">
        <f>IF(C37="","",VLOOKUP(C37,liste!$A$9:$G$145,6,FALSE))</f>
        <v>0</v>
      </c>
      <c r="AA37" s="930" t="s">
        <v>288</v>
      </c>
    </row>
    <row r="38" spans="1:28" ht="19.899999999999999" customHeight="1" x14ac:dyDescent="0.2">
      <c r="A38" s="775"/>
      <c r="B38" s="775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5"/>
      <c r="Y38" s="775"/>
      <c r="Z38" s="775"/>
      <c r="AA38" s="775"/>
    </row>
    <row r="39" spans="1:28" ht="34.9" customHeight="1" x14ac:dyDescent="0.2">
      <c r="A39" s="761"/>
      <c r="B39" s="762"/>
      <c r="C39" s="762"/>
      <c r="D39" s="762"/>
      <c r="E39" s="768"/>
      <c r="F39" s="769"/>
      <c r="G39" s="769"/>
      <c r="H39" s="769"/>
      <c r="I39" s="769"/>
      <c r="J39" s="769"/>
      <c r="K39" s="926" t="s">
        <v>2</v>
      </c>
      <c r="L39" s="926"/>
      <c r="M39" s="757" t="s">
        <v>63</v>
      </c>
      <c r="O39" s="769" t="s">
        <v>287</v>
      </c>
      <c r="P39" s="762"/>
      <c r="Q39" s="770">
        <f>Rens!C11</f>
        <v>0</v>
      </c>
      <c r="R39" s="770"/>
      <c r="S39" s="762"/>
      <c r="T39" s="766"/>
      <c r="U39" s="766"/>
      <c r="V39" s="771"/>
      <c r="W39" s="766"/>
      <c r="X39" s="764"/>
      <c r="Z39" s="772"/>
      <c r="AA39" s="757"/>
      <c r="AB39" s="764"/>
    </row>
    <row r="40" spans="1:28" ht="19.899999999999999" customHeight="1" thickBot="1" x14ac:dyDescent="0.25">
      <c r="A40" s="762"/>
      <c r="B40" s="762"/>
      <c r="C40" s="762"/>
      <c r="D40" s="762"/>
      <c r="E40" s="762"/>
      <c r="F40" s="762"/>
      <c r="G40" s="762"/>
      <c r="H40" s="764"/>
      <c r="I40" s="764"/>
      <c r="J40" s="764"/>
      <c r="K40" s="764"/>
      <c r="L40" s="764"/>
      <c r="M40" s="764"/>
      <c r="N40" s="764"/>
      <c r="O40" s="766"/>
      <c r="P40" s="766"/>
      <c r="Q40" s="766"/>
      <c r="R40" s="766"/>
      <c r="S40" s="766"/>
      <c r="T40" s="766"/>
      <c r="U40" s="766"/>
      <c r="V40" s="766"/>
      <c r="W40" s="766"/>
      <c r="X40" s="764"/>
      <c r="Y40" s="764"/>
      <c r="Z40" s="764"/>
      <c r="AA40" s="773"/>
    </row>
    <row r="41" spans="1:28" ht="19.899999999999999" customHeight="1" thickBot="1" x14ac:dyDescent="0.25">
      <c r="A41" s="774"/>
      <c r="B41" s="774"/>
      <c r="C41" s="898" t="s">
        <v>8</v>
      </c>
      <c r="D41" s="899"/>
      <c r="E41" s="900"/>
      <c r="F41" s="898" t="s">
        <v>16</v>
      </c>
      <c r="G41" s="899"/>
      <c r="H41" s="900"/>
      <c r="I41" s="898" t="s">
        <v>20</v>
      </c>
      <c r="J41" s="899"/>
      <c r="K41" s="899"/>
      <c r="L41" s="899"/>
      <c r="M41" s="899"/>
      <c r="N41" s="900"/>
      <c r="O41" s="898" t="s">
        <v>4</v>
      </c>
      <c r="P41" s="900"/>
      <c r="Q41" s="898" t="s">
        <v>12</v>
      </c>
      <c r="R41" s="899"/>
      <c r="S41" s="899"/>
      <c r="T41" s="899"/>
      <c r="U41" s="899"/>
      <c r="V41" s="899"/>
      <c r="W41" s="899"/>
      <c r="X41" s="899"/>
      <c r="Y41" s="899"/>
      <c r="Z41" s="898" t="s">
        <v>286</v>
      </c>
      <c r="AA41" s="900"/>
    </row>
    <row r="42" spans="1:28" ht="19.899999999999999" customHeight="1" x14ac:dyDescent="0.2">
      <c r="A42" s="936">
        <v>1</v>
      </c>
      <c r="B42" s="937"/>
      <c r="C42" s="942">
        <f>'Poules E-F'!C9</f>
        <v>5</v>
      </c>
      <c r="D42" s="943"/>
      <c r="E42" s="944"/>
      <c r="F42" s="945">
        <f>IF(C42="","",VLOOKUP(C42,liste!$A$9:$G$145,7,FALSE))</f>
        <v>7223318</v>
      </c>
      <c r="G42" s="946" t="e">
        <v>#N/A</v>
      </c>
      <c r="H42" s="947" t="e">
        <v>#N/A</v>
      </c>
      <c r="I42" s="948" t="str">
        <f>IF(C42="","",VLOOKUP(C42,liste!$A$9:$G$145,2,FALSE))</f>
        <v>BAUDET Léandre</v>
      </c>
      <c r="J42" s="949"/>
      <c r="K42" s="949"/>
      <c r="L42" s="949"/>
      <c r="M42" s="949"/>
      <c r="N42" s="950"/>
      <c r="O42" s="951">
        <f>IF(C42="","",VLOOKUP(C42,liste!$A$9:$G$145,4,FALSE))</f>
        <v>5</v>
      </c>
      <c r="P42" s="952" t="s">
        <v>288</v>
      </c>
      <c r="Q42" s="939" t="str">
        <f>IF(C42="","",VLOOKUP(C42,liste!$A$9:$G$145,3,FALSE))</f>
        <v>RUAUDIN TENNIS DE TABLE</v>
      </c>
      <c r="R42" s="940"/>
      <c r="S42" s="940"/>
      <c r="T42" s="940"/>
      <c r="U42" s="940"/>
      <c r="V42" s="940"/>
      <c r="W42" s="940"/>
      <c r="X42" s="940"/>
      <c r="Y42" s="941"/>
      <c r="Z42" s="911">
        <f>IF(C42="","",VLOOKUP(C42,liste!$A$9:$G$145,6,FALSE))</f>
        <v>500</v>
      </c>
      <c r="AA42" s="912" t="s">
        <v>288</v>
      </c>
    </row>
    <row r="43" spans="1:28" ht="19.899999999999999" customHeight="1" x14ac:dyDescent="0.2">
      <c r="A43" s="913">
        <v>2</v>
      </c>
      <c r="B43" s="914"/>
      <c r="C43" s="915">
        <f>'Poules E-F'!C10</f>
        <v>12</v>
      </c>
      <c r="D43" s="916"/>
      <c r="E43" s="917"/>
      <c r="F43" s="918">
        <f>IF(C43="","",VLOOKUP(C43,liste!$A$9:$G$145,7,FALSE))</f>
        <v>7223269</v>
      </c>
      <c r="G43" s="919" t="e">
        <v>#N/A</v>
      </c>
      <c r="H43" s="920" t="e">
        <v>#N/A</v>
      </c>
      <c r="I43" s="921" t="str">
        <f>IF(C43="","",VLOOKUP(C43,liste!$A$9:$G$145,2,FALSE))</f>
        <v>RENAUD Simon</v>
      </c>
      <c r="J43" s="922"/>
      <c r="K43" s="922"/>
      <c r="L43" s="922"/>
      <c r="M43" s="922"/>
      <c r="N43" s="923"/>
      <c r="O43" s="901">
        <f>IF(C43="","",VLOOKUP(C43,liste!$A$9:$G$145,4,FALSE))</f>
        <v>5</v>
      </c>
      <c r="P43" s="902" t="s">
        <v>288</v>
      </c>
      <c r="Q43" s="903" t="str">
        <f>IF(C43="","",VLOOKUP(C43,liste!$A$9:$G$145,3,FALSE))</f>
        <v>FOULLETOURTE T.T.</v>
      </c>
      <c r="R43" s="904"/>
      <c r="S43" s="904"/>
      <c r="T43" s="904"/>
      <c r="U43" s="904"/>
      <c r="V43" s="904"/>
      <c r="W43" s="904"/>
      <c r="X43" s="904"/>
      <c r="Y43" s="905"/>
      <c r="Z43" s="911">
        <f>IF(C43="","",VLOOKUP(C43,liste!$A$9:$G$145,6,FALSE))</f>
        <v>500</v>
      </c>
      <c r="AA43" s="912" t="s">
        <v>288</v>
      </c>
    </row>
    <row r="44" spans="1:28" ht="19.899999999999999" customHeight="1" x14ac:dyDescent="0.2">
      <c r="A44" s="913">
        <v>3</v>
      </c>
      <c r="B44" s="914"/>
      <c r="C44" s="915">
        <f>'Poules E-F'!C11</f>
        <v>21</v>
      </c>
      <c r="D44" s="916"/>
      <c r="E44" s="917"/>
      <c r="F44" s="918">
        <f>IF(C44="","",VLOOKUP(C44,liste!$A$9:$G$145,7,FALSE))</f>
        <v>7223227</v>
      </c>
      <c r="G44" s="919" t="e">
        <v>#N/A</v>
      </c>
      <c r="H44" s="920" t="e">
        <v>#N/A</v>
      </c>
      <c r="I44" s="921" t="str">
        <f>IF(C44="","",VLOOKUP(C44,liste!$A$9:$G$145,2,FALSE))</f>
        <v>DIALLO Medhi</v>
      </c>
      <c r="J44" s="922"/>
      <c r="K44" s="922"/>
      <c r="L44" s="922"/>
      <c r="M44" s="922"/>
      <c r="N44" s="923"/>
      <c r="O44" s="901">
        <f>IF(C44="","",VLOOKUP(C44,liste!$A$9:$G$145,4,FALSE))</f>
        <v>5</v>
      </c>
      <c r="P44" s="902" t="s">
        <v>288</v>
      </c>
      <c r="Q44" s="903" t="str">
        <f>IF(C44="","",VLOOKUP(C44,liste!$A$9:$G$145,3,FALSE))</f>
        <v>SAINTE JAMME TT</v>
      </c>
      <c r="R44" s="904"/>
      <c r="S44" s="904"/>
      <c r="T44" s="904"/>
      <c r="U44" s="904"/>
      <c r="V44" s="904"/>
      <c r="W44" s="904"/>
      <c r="X44" s="904"/>
      <c r="Y44" s="905"/>
      <c r="Z44" s="911">
        <f>IF(C44="","",VLOOKUP(C44,liste!$A$9:$G$145,6,FALSE))</f>
        <v>500</v>
      </c>
      <c r="AA44" s="912" t="s">
        <v>288</v>
      </c>
    </row>
    <row r="45" spans="1:28" ht="19.899999999999999" customHeight="1" thickBot="1" x14ac:dyDescent="0.25">
      <c r="A45" s="924">
        <v>4</v>
      </c>
      <c r="B45" s="925"/>
      <c r="C45" s="958">
        <f>'Poules E-F'!C12</f>
        <v>28</v>
      </c>
      <c r="D45" s="959"/>
      <c r="E45" s="960"/>
      <c r="F45" s="955">
        <f>IF(C45="","",VLOOKUP(C45,liste!$A$9:$G$145,7,FALSE))</f>
        <v>7223599</v>
      </c>
      <c r="G45" s="956" t="e">
        <v>#N/A</v>
      </c>
      <c r="H45" s="957" t="e">
        <v>#N/A</v>
      </c>
      <c r="I45" s="931" t="str">
        <f>IF(C45="","",VLOOKUP(C45,liste!$A$9:$G$145,2,FALSE))</f>
        <v>ROYER Mathis</v>
      </c>
      <c r="J45" s="932"/>
      <c r="K45" s="932"/>
      <c r="L45" s="932"/>
      <c r="M45" s="932"/>
      <c r="N45" s="933"/>
      <c r="O45" s="906">
        <f>IF(C45="","",VLOOKUP(C45,liste!$A$9:$G$145,4,FALSE))</f>
        <v>5</v>
      </c>
      <c r="P45" s="907" t="s">
        <v>288</v>
      </c>
      <c r="Q45" s="908" t="str">
        <f>IF(C45="","",VLOOKUP(C45,liste!$A$9:$G$145,3,FALSE))</f>
        <v>MAMERS CS</v>
      </c>
      <c r="R45" s="909"/>
      <c r="S45" s="909"/>
      <c r="T45" s="909"/>
      <c r="U45" s="909"/>
      <c r="V45" s="909"/>
      <c r="W45" s="909"/>
      <c r="X45" s="909"/>
      <c r="Y45" s="910"/>
      <c r="Z45" s="929">
        <f>IF(C45="","",VLOOKUP(C45,liste!$A$9:$G$145,6,FALSE))</f>
        <v>500</v>
      </c>
      <c r="AA45" s="930" t="s">
        <v>288</v>
      </c>
    </row>
    <row r="46" spans="1:28" ht="19.899999999999999" customHeight="1" x14ac:dyDescent="0.2">
      <c r="A46" s="762"/>
      <c r="B46" s="762"/>
      <c r="C46" s="762"/>
      <c r="D46" s="762"/>
      <c r="E46" s="762"/>
      <c r="F46" s="762"/>
      <c r="G46" s="762"/>
      <c r="H46" s="764"/>
      <c r="I46" s="764"/>
      <c r="J46" s="764"/>
      <c r="K46" s="764"/>
      <c r="L46" s="764"/>
      <c r="M46" s="764"/>
      <c r="N46" s="764"/>
      <c r="O46" s="766"/>
      <c r="P46" s="766"/>
      <c r="Q46" s="766"/>
      <c r="R46" s="766"/>
      <c r="S46" s="766"/>
      <c r="T46" s="766"/>
      <c r="U46" s="766"/>
      <c r="V46" s="766"/>
      <c r="W46" s="766"/>
      <c r="X46" s="764"/>
      <c r="Y46" s="764"/>
      <c r="Z46" s="764"/>
      <c r="AA46" s="764"/>
    </row>
    <row r="47" spans="1:28" ht="34.9" customHeight="1" x14ac:dyDescent="0.2">
      <c r="A47" s="761"/>
      <c r="B47" s="762"/>
      <c r="C47" s="762"/>
      <c r="D47" s="762"/>
      <c r="E47" s="768"/>
      <c r="F47" s="769"/>
      <c r="G47" s="769"/>
      <c r="H47" s="769"/>
      <c r="I47" s="769"/>
      <c r="J47" s="769"/>
      <c r="K47" s="926" t="s">
        <v>2</v>
      </c>
      <c r="L47" s="926"/>
      <c r="M47" s="757" t="s">
        <v>73</v>
      </c>
      <c r="N47" s="757"/>
      <c r="O47" s="769" t="s">
        <v>287</v>
      </c>
      <c r="P47" s="762"/>
      <c r="Q47" s="770">
        <f>Rens!C12</f>
        <v>0</v>
      </c>
      <c r="R47" s="770"/>
      <c r="S47" s="762"/>
      <c r="T47" s="766"/>
      <c r="U47" s="766"/>
      <c r="V47" s="764"/>
      <c r="W47" s="766"/>
      <c r="X47" s="764"/>
      <c r="Z47" s="772"/>
      <c r="AA47" s="757"/>
    </row>
    <row r="48" spans="1:28" ht="19.899999999999999" customHeight="1" thickBot="1" x14ac:dyDescent="0.25">
      <c r="A48" s="762"/>
      <c r="B48" s="762"/>
      <c r="C48" s="762"/>
      <c r="D48" s="762"/>
      <c r="E48" s="762"/>
      <c r="F48" s="762"/>
      <c r="G48" s="762"/>
      <c r="H48" s="764"/>
      <c r="I48" s="764"/>
      <c r="J48" s="764"/>
      <c r="K48" s="764"/>
      <c r="L48" s="764"/>
      <c r="M48" s="764"/>
      <c r="N48" s="764"/>
      <c r="O48" s="766"/>
      <c r="P48" s="766"/>
      <c r="Q48" s="766"/>
      <c r="R48" s="766"/>
      <c r="S48" s="766"/>
      <c r="T48" s="766"/>
      <c r="U48" s="766"/>
      <c r="V48" s="766"/>
      <c r="W48" s="766"/>
      <c r="X48" s="764"/>
      <c r="Y48" s="764"/>
      <c r="Z48" s="764"/>
      <c r="AA48" s="773"/>
    </row>
    <row r="49" spans="1:27" ht="19.899999999999999" customHeight="1" thickBot="1" x14ac:dyDescent="0.25">
      <c r="A49" s="774"/>
      <c r="B49" s="774"/>
      <c r="C49" s="898" t="s">
        <v>8</v>
      </c>
      <c r="D49" s="899"/>
      <c r="E49" s="900"/>
      <c r="F49" s="898" t="s">
        <v>16</v>
      </c>
      <c r="G49" s="899"/>
      <c r="H49" s="900"/>
      <c r="I49" s="898" t="s">
        <v>20</v>
      </c>
      <c r="J49" s="899"/>
      <c r="K49" s="899"/>
      <c r="L49" s="899"/>
      <c r="M49" s="899"/>
      <c r="N49" s="900"/>
      <c r="O49" s="898" t="s">
        <v>4</v>
      </c>
      <c r="P49" s="900"/>
      <c r="Q49" s="898" t="s">
        <v>12</v>
      </c>
      <c r="R49" s="899"/>
      <c r="S49" s="899"/>
      <c r="T49" s="899"/>
      <c r="U49" s="899"/>
      <c r="V49" s="899"/>
      <c r="W49" s="899"/>
      <c r="X49" s="899"/>
      <c r="Y49" s="899"/>
      <c r="Z49" s="898" t="s">
        <v>286</v>
      </c>
      <c r="AA49" s="900"/>
    </row>
    <row r="50" spans="1:27" ht="19.899999999999999" customHeight="1" x14ac:dyDescent="0.2">
      <c r="A50" s="936">
        <v>1</v>
      </c>
      <c r="B50" s="937"/>
      <c r="C50" s="942">
        <f>'Poules E-F'!C38</f>
        <v>6</v>
      </c>
      <c r="D50" s="943"/>
      <c r="E50" s="944"/>
      <c r="F50" s="945">
        <f>IF(C50="","",VLOOKUP(C50,liste!$A$9:$G$145,7,FALSE))</f>
        <v>7223255</v>
      </c>
      <c r="G50" s="946" t="e">
        <v>#N/A</v>
      </c>
      <c r="H50" s="947" t="e">
        <v>#N/A</v>
      </c>
      <c r="I50" s="948" t="str">
        <f>IF(C50="","",VLOOKUP(C50,liste!$A$9:$G$145,2,FALSE))</f>
        <v>ESVAN Corentin</v>
      </c>
      <c r="J50" s="949"/>
      <c r="K50" s="949"/>
      <c r="L50" s="949"/>
      <c r="M50" s="949"/>
      <c r="N50" s="950"/>
      <c r="O50" s="951">
        <f>IF(C50="","",VLOOKUP(C50,liste!$A$9:$G$145,4,FALSE))</f>
        <v>5</v>
      </c>
      <c r="P50" s="952" t="s">
        <v>288</v>
      </c>
      <c r="Q50" s="939" t="str">
        <f>IF(C50="","",VLOOKUP(C50,liste!$A$9:$G$145,3,FALSE))</f>
        <v>RUAUDIN TENNIS DE TABLE</v>
      </c>
      <c r="R50" s="940"/>
      <c r="S50" s="940"/>
      <c r="T50" s="940"/>
      <c r="U50" s="940"/>
      <c r="V50" s="940"/>
      <c r="W50" s="940"/>
      <c r="X50" s="940"/>
      <c r="Y50" s="941"/>
      <c r="Z50" s="911">
        <f>IF(C50="","",VLOOKUP(C50,liste!$A$9:$G$145,6,FALSE))</f>
        <v>500</v>
      </c>
      <c r="AA50" s="912" t="s">
        <v>288</v>
      </c>
    </row>
    <row r="51" spans="1:27" ht="19.899999999999999" customHeight="1" x14ac:dyDescent="0.2">
      <c r="A51" s="913">
        <v>2</v>
      </c>
      <c r="B51" s="914"/>
      <c r="C51" s="915">
        <f>'Poules E-F'!C39</f>
        <v>9</v>
      </c>
      <c r="D51" s="916"/>
      <c r="E51" s="917"/>
      <c r="F51" s="918">
        <f>IF(C51="","",VLOOKUP(C51,liste!$A$9:$G$145,7,FALSE))</f>
        <v>7223212</v>
      </c>
      <c r="G51" s="919" t="e">
        <v>#N/A</v>
      </c>
      <c r="H51" s="920" t="e">
        <v>#N/A</v>
      </c>
      <c r="I51" s="921" t="str">
        <f>IF(C51="","",VLOOKUP(C51,liste!$A$9:$G$145,2,FALSE))</f>
        <v>GUIVARCH Leon</v>
      </c>
      <c r="J51" s="922"/>
      <c r="K51" s="922"/>
      <c r="L51" s="922"/>
      <c r="M51" s="922"/>
      <c r="N51" s="923"/>
      <c r="O51" s="901">
        <f>IF(C51="","",VLOOKUP(C51,liste!$A$9:$G$145,4,FALSE))</f>
        <v>5</v>
      </c>
      <c r="P51" s="902" t="s">
        <v>288</v>
      </c>
      <c r="Q51" s="903" t="str">
        <f>IF(C51="","",VLOOKUP(C51,liste!$A$9:$G$145,3,FALSE))</f>
        <v>LE MANS ASPTT</v>
      </c>
      <c r="R51" s="904"/>
      <c r="S51" s="904"/>
      <c r="T51" s="904"/>
      <c r="U51" s="904"/>
      <c r="V51" s="904"/>
      <c r="W51" s="904"/>
      <c r="X51" s="904"/>
      <c r="Y51" s="905"/>
      <c r="Z51" s="911">
        <f>IF(C51="","",VLOOKUP(C51,liste!$A$9:$G$145,6,FALSE))</f>
        <v>500</v>
      </c>
      <c r="AA51" s="912" t="s">
        <v>288</v>
      </c>
    </row>
    <row r="52" spans="1:27" ht="19.899999999999999" customHeight="1" x14ac:dyDescent="0.2">
      <c r="A52" s="913">
        <v>3</v>
      </c>
      <c r="B52" s="914"/>
      <c r="C52" s="915">
        <f>'Poules E-F'!C40</f>
        <v>22</v>
      </c>
      <c r="D52" s="916"/>
      <c r="E52" s="917"/>
      <c r="F52" s="918">
        <f>IF(C52="","",VLOOKUP(C52,liste!$A$9:$G$145,7,FALSE))</f>
        <v>7223106</v>
      </c>
      <c r="G52" s="919" t="e">
        <v>#N/A</v>
      </c>
      <c r="H52" s="920" t="e">
        <v>#N/A</v>
      </c>
      <c r="I52" s="921" t="str">
        <f>IF(C52="","",VLOOKUP(C52,liste!$A$9:$G$145,2,FALSE))</f>
        <v>Baugard Nathan</v>
      </c>
      <c r="J52" s="922"/>
      <c r="K52" s="922"/>
      <c r="L52" s="922"/>
      <c r="M52" s="922"/>
      <c r="N52" s="923"/>
      <c r="O52" s="901">
        <f>IF(C52="","",VLOOKUP(C52,liste!$A$9:$G$145,4,FALSE))</f>
        <v>5</v>
      </c>
      <c r="P52" s="902" t="s">
        <v>288</v>
      </c>
      <c r="Q52" s="903" t="str">
        <f>IF(C52="","",VLOOKUP(C52,liste!$A$9:$G$145,3,FALSE))</f>
        <v>savigné</v>
      </c>
      <c r="R52" s="904"/>
      <c r="S52" s="904"/>
      <c r="T52" s="904"/>
      <c r="U52" s="904"/>
      <c r="V52" s="904"/>
      <c r="W52" s="904"/>
      <c r="X52" s="904"/>
      <c r="Y52" s="905"/>
      <c r="Z52" s="911">
        <f>IF(C52="","",VLOOKUP(C52,liste!$A$9:$G$145,6,FALSE))</f>
        <v>500</v>
      </c>
      <c r="AA52" s="912" t="s">
        <v>288</v>
      </c>
    </row>
    <row r="53" spans="1:27" ht="19.899999999999999" customHeight="1" thickBot="1" x14ac:dyDescent="0.25">
      <c r="A53" s="924">
        <v>4</v>
      </c>
      <c r="B53" s="925"/>
      <c r="C53" s="958">
        <f>'Poules E-F'!C41</f>
        <v>27</v>
      </c>
      <c r="D53" s="959"/>
      <c r="E53" s="960"/>
      <c r="F53" s="955">
        <f>IF(C53="","",VLOOKUP(C53,liste!$A$9:$G$145,7,FALSE))</f>
        <v>7223289</v>
      </c>
      <c r="G53" s="956" t="e">
        <v>#N/A</v>
      </c>
      <c r="H53" s="957" t="e">
        <v>#N/A</v>
      </c>
      <c r="I53" s="931" t="str">
        <f>IF(C53="","",VLOOKUP(C53,liste!$A$9:$G$145,2,FALSE))</f>
        <v>GIRARD Loan</v>
      </c>
      <c r="J53" s="932"/>
      <c r="K53" s="932"/>
      <c r="L53" s="932"/>
      <c r="M53" s="932"/>
      <c r="N53" s="933"/>
      <c r="O53" s="906">
        <f>IF(C53="","",VLOOKUP(C53,liste!$A$9:$G$145,4,FALSE))</f>
        <v>5</v>
      </c>
      <c r="P53" s="907" t="s">
        <v>288</v>
      </c>
      <c r="Q53" s="908" t="str">
        <f>IF(C53="","",VLOOKUP(C53,liste!$A$9:$G$145,3,FALSE))</f>
        <v>MAMERS CS</v>
      </c>
      <c r="R53" s="909"/>
      <c r="S53" s="909"/>
      <c r="T53" s="909"/>
      <c r="U53" s="909"/>
      <c r="V53" s="909"/>
      <c r="W53" s="909"/>
      <c r="X53" s="909"/>
      <c r="Y53" s="910"/>
      <c r="Z53" s="929">
        <f>IF(C53="","",VLOOKUP(C53,liste!$A$9:$G$145,6,FALSE))</f>
        <v>500</v>
      </c>
      <c r="AA53" s="930" t="s">
        <v>288</v>
      </c>
    </row>
    <row r="54" spans="1:27" ht="19.899999999999999" customHeight="1" x14ac:dyDescent="0.2">
      <c r="A54" s="762"/>
      <c r="B54" s="762"/>
      <c r="C54" s="762"/>
      <c r="D54" s="762"/>
      <c r="E54" s="762"/>
      <c r="F54" s="762"/>
      <c r="G54" s="762"/>
      <c r="H54" s="764"/>
      <c r="I54" s="764"/>
      <c r="J54" s="764"/>
      <c r="K54" s="764"/>
      <c r="L54" s="764"/>
      <c r="M54" s="764"/>
      <c r="N54" s="764"/>
      <c r="O54" s="766"/>
      <c r="P54" s="766"/>
      <c r="Q54" s="766"/>
      <c r="R54" s="766"/>
      <c r="S54" s="766"/>
      <c r="T54" s="766"/>
      <c r="U54" s="766"/>
      <c r="V54" s="766"/>
      <c r="W54" s="766"/>
      <c r="X54" s="764"/>
      <c r="Y54" s="764"/>
      <c r="Z54" s="764"/>
      <c r="AA54" s="764"/>
    </row>
    <row r="55" spans="1:27" ht="34.9" customHeight="1" x14ac:dyDescent="0.2">
      <c r="A55" s="761"/>
      <c r="B55" s="762"/>
      <c r="C55" s="762"/>
      <c r="D55" s="762"/>
      <c r="E55" s="768"/>
      <c r="F55" s="769"/>
      <c r="G55" s="769"/>
      <c r="H55" s="769"/>
      <c r="I55" s="769"/>
      <c r="J55" s="769"/>
      <c r="K55" s="926" t="s">
        <v>2</v>
      </c>
      <c r="L55" s="926"/>
      <c r="M55" s="757" t="s">
        <v>74</v>
      </c>
      <c r="O55" s="769" t="s">
        <v>287</v>
      </c>
      <c r="P55" s="762"/>
      <c r="Q55" s="770">
        <f>Rens!C13</f>
        <v>0</v>
      </c>
      <c r="R55" s="770"/>
      <c r="S55" s="762"/>
      <c r="T55" s="766"/>
      <c r="U55" s="766"/>
      <c r="V55" s="764"/>
      <c r="W55" s="766"/>
      <c r="X55" s="764"/>
      <c r="Z55" s="772"/>
      <c r="AA55" s="757"/>
    </row>
    <row r="56" spans="1:27" ht="19.899999999999999" customHeight="1" thickBot="1" x14ac:dyDescent="0.25">
      <c r="A56" s="762"/>
      <c r="B56" s="762"/>
      <c r="C56" s="762"/>
      <c r="D56" s="762"/>
      <c r="E56" s="762"/>
      <c r="F56" s="762"/>
      <c r="G56" s="762"/>
      <c r="H56" s="764"/>
      <c r="I56" s="764"/>
      <c r="J56" s="764"/>
      <c r="K56" s="764"/>
      <c r="L56" s="764"/>
      <c r="M56" s="764"/>
      <c r="N56" s="764"/>
      <c r="O56" s="766"/>
      <c r="P56" s="766"/>
      <c r="Q56" s="766"/>
      <c r="R56" s="766"/>
      <c r="S56" s="766"/>
      <c r="T56" s="766"/>
      <c r="U56" s="766"/>
      <c r="V56" s="766"/>
      <c r="W56" s="766"/>
      <c r="X56" s="764"/>
      <c r="Y56" s="764"/>
      <c r="Z56" s="764"/>
      <c r="AA56" s="773"/>
    </row>
    <row r="57" spans="1:27" ht="19.899999999999999" customHeight="1" thickBot="1" x14ac:dyDescent="0.25">
      <c r="A57" s="774"/>
      <c r="B57" s="774"/>
      <c r="C57" s="898" t="s">
        <v>8</v>
      </c>
      <c r="D57" s="899"/>
      <c r="E57" s="900"/>
      <c r="F57" s="898" t="s">
        <v>16</v>
      </c>
      <c r="G57" s="899"/>
      <c r="H57" s="900"/>
      <c r="I57" s="898" t="s">
        <v>20</v>
      </c>
      <c r="J57" s="899"/>
      <c r="K57" s="899"/>
      <c r="L57" s="899"/>
      <c r="M57" s="899"/>
      <c r="N57" s="900"/>
      <c r="O57" s="898" t="s">
        <v>4</v>
      </c>
      <c r="P57" s="900"/>
      <c r="Q57" s="898" t="s">
        <v>12</v>
      </c>
      <c r="R57" s="899"/>
      <c r="S57" s="899"/>
      <c r="T57" s="899"/>
      <c r="U57" s="899"/>
      <c r="V57" s="899"/>
      <c r="W57" s="899"/>
      <c r="X57" s="899"/>
      <c r="Y57" s="899"/>
      <c r="Z57" s="898" t="s">
        <v>286</v>
      </c>
      <c r="AA57" s="900"/>
    </row>
    <row r="58" spans="1:27" ht="19.899999999999999" customHeight="1" x14ac:dyDescent="0.2">
      <c r="A58" s="936">
        <v>1</v>
      </c>
      <c r="B58" s="937"/>
      <c r="C58" s="942">
        <f>'Poules G-H'!C9</f>
        <v>7</v>
      </c>
      <c r="D58" s="943"/>
      <c r="E58" s="944"/>
      <c r="F58" s="945">
        <f>IF(C58="","",VLOOKUP(C58,liste!$A$9:$G$145,7,FALSE))</f>
        <v>7223346</v>
      </c>
      <c r="G58" s="946" t="e">
        <v>#N/A</v>
      </c>
      <c r="H58" s="947" t="e">
        <v>#N/A</v>
      </c>
      <c r="I58" s="948" t="str">
        <f>IF(C58="","",VLOOKUP(C58,liste!$A$9:$G$145,2,FALSE))</f>
        <v>DINOCHAU Noé</v>
      </c>
      <c r="J58" s="949"/>
      <c r="K58" s="949"/>
      <c r="L58" s="949"/>
      <c r="M58" s="949"/>
      <c r="N58" s="950"/>
      <c r="O58" s="951">
        <f>IF(C58="","",VLOOKUP(C58,liste!$A$9:$G$145,4,FALSE))</f>
        <v>5</v>
      </c>
      <c r="P58" s="952" t="s">
        <v>288</v>
      </c>
      <c r="Q58" s="939" t="str">
        <f>IF(C58="","",VLOOKUP(C58,liste!$A$9:$G$145,3,FALSE))</f>
        <v>COULAINES JS</v>
      </c>
      <c r="R58" s="940"/>
      <c r="S58" s="940"/>
      <c r="T58" s="940"/>
      <c r="U58" s="940"/>
      <c r="V58" s="940"/>
      <c r="W58" s="940"/>
      <c r="X58" s="940"/>
      <c r="Y58" s="941"/>
      <c r="Z58" s="911">
        <f>IF(C58="","",VLOOKUP(C58,liste!$A$9:$G$145,6,FALSE))</f>
        <v>500</v>
      </c>
      <c r="AA58" s="912" t="s">
        <v>288</v>
      </c>
    </row>
    <row r="59" spans="1:27" ht="19.899999999999999" customHeight="1" x14ac:dyDescent="0.2">
      <c r="A59" s="913">
        <v>2</v>
      </c>
      <c r="B59" s="914"/>
      <c r="C59" s="915">
        <f>'Poules G-H'!C10</f>
        <v>10</v>
      </c>
      <c r="D59" s="916"/>
      <c r="E59" s="917"/>
      <c r="F59" s="918">
        <f>IF(C59="","",VLOOKUP(C59,liste!$A$9:$G$145,7,FALSE))</f>
        <v>7223249</v>
      </c>
      <c r="G59" s="919" t="e">
        <v>#N/A</v>
      </c>
      <c r="H59" s="920" t="e">
        <v>#N/A</v>
      </c>
      <c r="I59" s="921" t="str">
        <f>IF(C59="","",VLOOKUP(C59,liste!$A$9:$G$145,2,FALSE))</f>
        <v>DORDAIN Sacha</v>
      </c>
      <c r="J59" s="922"/>
      <c r="K59" s="922"/>
      <c r="L59" s="922"/>
      <c r="M59" s="922"/>
      <c r="N59" s="923"/>
      <c r="O59" s="901">
        <f>IF(C59="","",VLOOKUP(C59,liste!$A$9:$G$145,4,FALSE))</f>
        <v>5</v>
      </c>
      <c r="P59" s="902" t="s">
        <v>288</v>
      </c>
      <c r="Q59" s="903" t="str">
        <f>IF(C59="","",VLOOKUP(C59,liste!$A$9:$G$145,3,FALSE))</f>
        <v>LE MANS ASPTT</v>
      </c>
      <c r="R59" s="904"/>
      <c r="S59" s="904"/>
      <c r="T59" s="904"/>
      <c r="U59" s="904"/>
      <c r="V59" s="904"/>
      <c r="W59" s="904"/>
      <c r="X59" s="904"/>
      <c r="Y59" s="905"/>
      <c r="Z59" s="911">
        <f>IF(C59="","",VLOOKUP(C59,liste!$A$9:$G$145,6,FALSE))</f>
        <v>500</v>
      </c>
      <c r="AA59" s="912" t="s">
        <v>288</v>
      </c>
    </row>
    <row r="60" spans="1:27" ht="19.899999999999999" customHeight="1" x14ac:dyDescent="0.2">
      <c r="A60" s="913">
        <v>3</v>
      </c>
      <c r="B60" s="914"/>
      <c r="C60" s="915">
        <f>'Poules G-H'!C11</f>
        <v>24</v>
      </c>
      <c r="D60" s="916"/>
      <c r="E60" s="917"/>
      <c r="F60" s="918">
        <f>IF(C60="","",VLOOKUP(C60,liste!$A$9:$G$145,7,FALSE))</f>
        <v>7223177</v>
      </c>
      <c r="G60" s="919" t="e">
        <v>#N/A</v>
      </c>
      <c r="H60" s="920" t="e">
        <v>#N/A</v>
      </c>
      <c r="I60" s="921" t="str">
        <f>IF(C60="","",VLOOKUP(C60,liste!$A$9:$G$145,2,FALSE))</f>
        <v>BOULARD  Neyl</v>
      </c>
      <c r="J60" s="922"/>
      <c r="K60" s="922"/>
      <c r="L60" s="922"/>
      <c r="M60" s="922"/>
      <c r="N60" s="923"/>
      <c r="O60" s="901">
        <f>IF(C60="","",VLOOKUP(C60,liste!$A$9:$G$145,4,FALSE))</f>
        <v>5</v>
      </c>
      <c r="P60" s="902" t="s">
        <v>288</v>
      </c>
      <c r="Q60" s="903" t="str">
        <f>IF(C60="","",VLOOKUP(C60,liste!$A$9:$G$145,3,FALSE))</f>
        <v>FOULLETOURTE T.T.</v>
      </c>
      <c r="R60" s="904"/>
      <c r="S60" s="904"/>
      <c r="T60" s="904"/>
      <c r="U60" s="904"/>
      <c r="V60" s="904"/>
      <c r="W60" s="904"/>
      <c r="X60" s="904"/>
      <c r="Y60" s="905"/>
      <c r="Z60" s="911">
        <f>IF(C60="","",VLOOKUP(C60,liste!$A$9:$G$145,6,FALSE))</f>
        <v>500</v>
      </c>
      <c r="AA60" s="912" t="s">
        <v>288</v>
      </c>
    </row>
    <row r="61" spans="1:27" ht="19.899999999999999" customHeight="1" thickBot="1" x14ac:dyDescent="0.25">
      <c r="A61" s="924">
        <v>4</v>
      </c>
      <c r="B61" s="925"/>
      <c r="C61" s="958">
        <f>'Poules G-H'!C12</f>
        <v>26</v>
      </c>
      <c r="D61" s="959"/>
      <c r="E61" s="960"/>
      <c r="F61" s="955">
        <f>IF(C61="","",VLOOKUP(C61,liste!$A$9:$G$145,7,FALSE))</f>
        <v>7223086</v>
      </c>
      <c r="G61" s="956" t="e">
        <v>#N/A</v>
      </c>
      <c r="H61" s="957" t="e">
        <v>#N/A</v>
      </c>
      <c r="I61" s="931" t="str">
        <f>IF(C61="","",VLOOKUP(C61,liste!$A$9:$G$145,2,FALSE))</f>
        <v>CORVAISIER Bastien</v>
      </c>
      <c r="J61" s="932"/>
      <c r="K61" s="932"/>
      <c r="L61" s="932"/>
      <c r="M61" s="932"/>
      <c r="N61" s="933"/>
      <c r="O61" s="906">
        <f>IF(C61="","",VLOOKUP(C61,liste!$A$9:$G$145,4,FALSE))</f>
        <v>5</v>
      </c>
      <c r="P61" s="907" t="s">
        <v>288</v>
      </c>
      <c r="Q61" s="908" t="str">
        <f>IF(C61="","",VLOOKUP(C61,liste!$A$9:$G$145,3,FALSE))</f>
        <v>MAMERS CS</v>
      </c>
      <c r="R61" s="909"/>
      <c r="S61" s="909"/>
      <c r="T61" s="909"/>
      <c r="U61" s="909"/>
      <c r="V61" s="909"/>
      <c r="W61" s="909"/>
      <c r="X61" s="909"/>
      <c r="Y61" s="910"/>
      <c r="Z61" s="929">
        <f>IF(C61="","",VLOOKUP(C61,liste!$A$9:$G$145,6,FALSE))</f>
        <v>500</v>
      </c>
      <c r="AA61" s="930" t="s">
        <v>288</v>
      </c>
    </row>
    <row r="62" spans="1:27" ht="19.899999999999999" customHeight="1" x14ac:dyDescent="0.2">
      <c r="A62" s="762"/>
      <c r="B62" s="762"/>
      <c r="C62" s="762"/>
      <c r="D62" s="762"/>
      <c r="E62" s="762"/>
      <c r="F62" s="762"/>
      <c r="G62" s="762"/>
      <c r="H62" s="764"/>
      <c r="I62" s="764"/>
      <c r="J62" s="764"/>
      <c r="K62" s="764"/>
      <c r="L62" s="764"/>
      <c r="M62" s="764"/>
      <c r="N62" s="764"/>
      <c r="O62" s="766"/>
      <c r="P62" s="766"/>
      <c r="Q62" s="766"/>
      <c r="R62" s="766"/>
      <c r="S62" s="766"/>
      <c r="T62" s="766"/>
      <c r="U62" s="766"/>
      <c r="V62" s="766"/>
      <c r="W62" s="766"/>
      <c r="X62" s="764"/>
      <c r="Y62" s="764"/>
      <c r="Z62" s="764"/>
      <c r="AA62" s="764"/>
    </row>
    <row r="63" spans="1:27" ht="34.9" customHeight="1" x14ac:dyDescent="0.2">
      <c r="A63" s="761"/>
      <c r="B63" s="762"/>
      <c r="C63" s="762"/>
      <c r="D63" s="762"/>
      <c r="E63" s="768"/>
      <c r="F63" s="769"/>
      <c r="G63" s="769"/>
      <c r="H63" s="769"/>
      <c r="I63" s="769"/>
      <c r="J63" s="769"/>
      <c r="K63" s="926" t="s">
        <v>2</v>
      </c>
      <c r="L63" s="926"/>
      <c r="M63" s="757" t="s">
        <v>75</v>
      </c>
      <c r="N63" s="757"/>
      <c r="O63" s="769" t="s">
        <v>287</v>
      </c>
      <c r="P63" s="762"/>
      <c r="Q63" s="770">
        <f>Rens!C14</f>
        <v>0</v>
      </c>
      <c r="R63" s="770"/>
      <c r="S63" s="762"/>
      <c r="T63" s="766"/>
      <c r="U63" s="766"/>
      <c r="V63" s="764"/>
      <c r="W63" s="766"/>
      <c r="X63" s="764"/>
      <c r="Z63" s="772"/>
      <c r="AA63" s="757"/>
    </row>
    <row r="64" spans="1:27" ht="19.899999999999999" customHeight="1" thickBot="1" x14ac:dyDescent="0.25">
      <c r="A64" s="762"/>
      <c r="B64" s="762"/>
      <c r="C64" s="762"/>
      <c r="D64" s="762"/>
      <c r="E64" s="762"/>
      <c r="F64" s="762"/>
      <c r="G64" s="762"/>
      <c r="H64" s="764"/>
      <c r="I64" s="764"/>
      <c r="J64" s="764"/>
      <c r="K64" s="764"/>
      <c r="L64" s="764"/>
      <c r="M64" s="764"/>
      <c r="N64" s="764"/>
      <c r="O64" s="766"/>
      <c r="P64" s="766"/>
      <c r="Q64" s="766"/>
      <c r="R64" s="766"/>
      <c r="S64" s="766"/>
      <c r="T64" s="766"/>
      <c r="U64" s="766"/>
      <c r="V64" s="766"/>
      <c r="W64" s="766"/>
      <c r="X64" s="764"/>
      <c r="Y64" s="764"/>
      <c r="Z64" s="764"/>
      <c r="AA64" s="773"/>
    </row>
    <row r="65" spans="1:27" ht="19.899999999999999" customHeight="1" thickBot="1" x14ac:dyDescent="0.25">
      <c r="A65" s="774"/>
      <c r="B65" s="774"/>
      <c r="C65" s="898" t="s">
        <v>8</v>
      </c>
      <c r="D65" s="899"/>
      <c r="E65" s="900"/>
      <c r="F65" s="898" t="s">
        <v>16</v>
      </c>
      <c r="G65" s="899"/>
      <c r="H65" s="900"/>
      <c r="I65" s="898" t="s">
        <v>20</v>
      </c>
      <c r="J65" s="899"/>
      <c r="K65" s="899"/>
      <c r="L65" s="899"/>
      <c r="M65" s="899"/>
      <c r="N65" s="900"/>
      <c r="O65" s="898" t="s">
        <v>4</v>
      </c>
      <c r="P65" s="900"/>
      <c r="Q65" s="898" t="s">
        <v>12</v>
      </c>
      <c r="R65" s="899"/>
      <c r="S65" s="899"/>
      <c r="T65" s="899"/>
      <c r="U65" s="899"/>
      <c r="V65" s="899"/>
      <c r="W65" s="899"/>
      <c r="X65" s="899"/>
      <c r="Y65" s="899"/>
      <c r="Z65" s="934" t="s">
        <v>286</v>
      </c>
      <c r="AA65" s="935"/>
    </row>
    <row r="66" spans="1:27" ht="19.899999999999999" customHeight="1" x14ac:dyDescent="0.2">
      <c r="A66" s="936">
        <v>1</v>
      </c>
      <c r="B66" s="937"/>
      <c r="C66" s="942">
        <f>'Poules G-H'!$C$38</f>
        <v>8</v>
      </c>
      <c r="D66" s="943"/>
      <c r="E66" s="944"/>
      <c r="F66" s="945">
        <f>IF(C66="","",VLOOKUP(C66,liste!$A$9:$G$145,7,FALSE))</f>
        <v>7223163</v>
      </c>
      <c r="G66" s="946" t="e">
        <v>#N/A</v>
      </c>
      <c r="H66" s="947" t="e">
        <v>#N/A</v>
      </c>
      <c r="I66" s="948" t="str">
        <f>IF(C66="","",VLOOKUP(C66,liste!$A$9:$G$145,2,FALSE))</f>
        <v>JUHEL Ethan</v>
      </c>
      <c r="J66" s="949"/>
      <c r="K66" s="949"/>
      <c r="L66" s="949"/>
      <c r="M66" s="949"/>
      <c r="N66" s="950"/>
      <c r="O66" s="951">
        <f>IF(C66="","",VLOOKUP(C66,liste!$A$9:$G$145,4,FALSE))</f>
        <v>5</v>
      </c>
      <c r="P66" s="952" t="s">
        <v>288</v>
      </c>
      <c r="Q66" s="939" t="str">
        <f>IF(C66="","",VLOOKUP(C66,liste!$A$9:$G$145,3,FALSE))</f>
        <v>COULAINES JS</v>
      </c>
      <c r="R66" s="940"/>
      <c r="S66" s="940"/>
      <c r="T66" s="940"/>
      <c r="U66" s="940"/>
      <c r="V66" s="940"/>
      <c r="W66" s="940"/>
      <c r="X66" s="940"/>
      <c r="Y66" s="941"/>
      <c r="Z66" s="953">
        <f>IF(C66="","",VLOOKUP(C66,liste!$A$9:$G$145,6,FALSE))</f>
        <v>500</v>
      </c>
      <c r="AA66" s="954" t="s">
        <v>288</v>
      </c>
    </row>
    <row r="67" spans="1:27" ht="19.899999999999999" customHeight="1" x14ac:dyDescent="0.2">
      <c r="A67" s="913">
        <v>2</v>
      </c>
      <c r="B67" s="914"/>
      <c r="C67" s="915">
        <f>'Poules G-H'!$C$39</f>
        <v>11</v>
      </c>
      <c r="D67" s="916"/>
      <c r="E67" s="917"/>
      <c r="F67" s="918">
        <f>IF(C67="","",VLOOKUP(C67,liste!$A$9:$G$145,7,FALSE))</f>
        <v>7223082</v>
      </c>
      <c r="G67" s="919" t="e">
        <v>#N/A</v>
      </c>
      <c r="H67" s="920" t="e">
        <v>#N/A</v>
      </c>
      <c r="I67" s="921" t="str">
        <f>IF(C67="","",VLOOKUP(C67,liste!$A$9:$G$145,2,FALSE))</f>
        <v>LAIR Enzo</v>
      </c>
      <c r="J67" s="922"/>
      <c r="K67" s="922"/>
      <c r="L67" s="922"/>
      <c r="M67" s="922"/>
      <c r="N67" s="923"/>
      <c r="O67" s="901">
        <f>IF(C67="","",VLOOKUP(C67,liste!$A$9:$G$145,4,FALSE))</f>
        <v>5</v>
      </c>
      <c r="P67" s="902" t="s">
        <v>288</v>
      </c>
      <c r="Q67" s="903" t="str">
        <f>IF(C67="","",VLOOKUP(C67,liste!$A$9:$G$145,3,FALSE))</f>
        <v>FOULLETOURTE T.T.</v>
      </c>
      <c r="R67" s="904"/>
      <c r="S67" s="904"/>
      <c r="T67" s="904"/>
      <c r="U67" s="904"/>
      <c r="V67" s="904"/>
      <c r="W67" s="904"/>
      <c r="X67" s="904"/>
      <c r="Y67" s="905"/>
      <c r="Z67" s="911">
        <f>IF(C67="","",VLOOKUP(C67,liste!$A$9:$G$145,6,FALSE))</f>
        <v>500</v>
      </c>
      <c r="AA67" s="912" t="s">
        <v>288</v>
      </c>
    </row>
    <row r="68" spans="1:27" ht="19.899999999999999" customHeight="1" x14ac:dyDescent="0.2">
      <c r="A68" s="913">
        <v>3</v>
      </c>
      <c r="B68" s="914"/>
      <c r="C68" s="915">
        <f>'Poules G-H'!$C$40</f>
        <v>23</v>
      </c>
      <c r="D68" s="916"/>
      <c r="E68" s="917"/>
      <c r="F68" s="918">
        <f>IF(C68="","",VLOOKUP(C68,liste!$A$9:$G$145,7,FALSE))</f>
        <v>7223032</v>
      </c>
      <c r="G68" s="919" t="e">
        <v>#N/A</v>
      </c>
      <c r="H68" s="920" t="e">
        <v>#N/A</v>
      </c>
      <c r="I68" s="921" t="str">
        <f>IF(C68="","",VLOOKUP(C68,liste!$A$9:$G$145,2,FALSE))</f>
        <v>BERGE LEPARC Nolann</v>
      </c>
      <c r="J68" s="922"/>
      <c r="K68" s="922"/>
      <c r="L68" s="922"/>
      <c r="M68" s="922"/>
      <c r="N68" s="923"/>
      <c r="O68" s="901">
        <f>IF(C68="","",VLOOKUP(C68,liste!$A$9:$G$145,4,FALSE))</f>
        <v>5</v>
      </c>
      <c r="P68" s="902" t="s">
        <v>288</v>
      </c>
      <c r="Q68" s="903" t="str">
        <f>IF(C68="","",VLOOKUP(C68,liste!$A$9:$G$145,3,FALSE))</f>
        <v>SAINTE JAMME TT</v>
      </c>
      <c r="R68" s="904"/>
      <c r="S68" s="904"/>
      <c r="T68" s="904"/>
      <c r="U68" s="904"/>
      <c r="V68" s="904"/>
      <c r="W68" s="904"/>
      <c r="X68" s="904"/>
      <c r="Y68" s="905"/>
      <c r="Z68" s="911">
        <f>IF(C68="","",VLOOKUP(C68,liste!$A$9:$G$145,6,FALSE))</f>
        <v>500</v>
      </c>
      <c r="AA68" s="912" t="s">
        <v>288</v>
      </c>
    </row>
    <row r="69" spans="1:27" ht="19.899999999999999" customHeight="1" thickBot="1" x14ac:dyDescent="0.25">
      <c r="A69" s="924">
        <v>4</v>
      </c>
      <c r="B69" s="925"/>
      <c r="C69" s="958">
        <f>'Poules G-H'!$C$41</f>
        <v>25</v>
      </c>
      <c r="D69" s="959"/>
      <c r="E69" s="960"/>
      <c r="F69" s="955">
        <f>IF(C69="","",VLOOKUP(C69,liste!$A$9:$G$145,7,FALSE))</f>
        <v>7223064</v>
      </c>
      <c r="G69" s="956" t="e">
        <v>#N/A</v>
      </c>
      <c r="H69" s="957" t="e">
        <v>#N/A</v>
      </c>
      <c r="I69" s="931" t="str">
        <f>IF(C69="","",VLOOKUP(C69,liste!$A$9:$G$145,2,FALSE))</f>
        <v>LECOMTE Erwan</v>
      </c>
      <c r="J69" s="932"/>
      <c r="K69" s="932"/>
      <c r="L69" s="932"/>
      <c r="M69" s="932"/>
      <c r="N69" s="933"/>
      <c r="O69" s="906">
        <f>IF(C69="","",VLOOKUP(C69,liste!$A$9:$G$145,4,FALSE))</f>
        <v>5</v>
      </c>
      <c r="P69" s="907" t="s">
        <v>288</v>
      </c>
      <c r="Q69" s="908" t="str">
        <f>IF(C69="","",VLOOKUP(C69,liste!$A$9:$G$145,3,FALSE))</f>
        <v>LA CHAPELLE ALTT</v>
      </c>
      <c r="R69" s="909"/>
      <c r="S69" s="909"/>
      <c r="T69" s="909"/>
      <c r="U69" s="909"/>
      <c r="V69" s="909"/>
      <c r="W69" s="909"/>
      <c r="X69" s="909"/>
      <c r="Y69" s="910"/>
      <c r="Z69" s="929">
        <f>IF(C69="","",VLOOKUP(C69,liste!$A$9:$G$145,6,FALSE))</f>
        <v>500</v>
      </c>
      <c r="AA69" s="930" t="s">
        <v>288</v>
      </c>
    </row>
    <row r="72" spans="1:27" ht="19.899999999999999" customHeight="1" x14ac:dyDescent="0.2">
      <c r="G72" s="927" t="s">
        <v>294</v>
      </c>
      <c r="H72" s="927"/>
      <c r="I72" s="927"/>
      <c r="J72" s="927"/>
    </row>
    <row r="73" spans="1:27" ht="19.899999999999999" customHeight="1" x14ac:dyDescent="0.2">
      <c r="J73" s="928">
        <f>Rens!E13</f>
        <v>0</v>
      </c>
      <c r="K73" s="928"/>
      <c r="L73" s="928"/>
      <c r="M73" s="928"/>
      <c r="N73" s="928"/>
    </row>
  </sheetData>
  <sheetProtection selectLockedCells="1"/>
  <mergeCells count="288">
    <mergeCell ref="A66:B66"/>
    <mergeCell ref="C66:E66"/>
    <mergeCell ref="F66:H66"/>
    <mergeCell ref="I66:N66"/>
    <mergeCell ref="O66:P66"/>
    <mergeCell ref="Q66:Y66"/>
    <mergeCell ref="Z66:AA66"/>
    <mergeCell ref="C67:E67"/>
    <mergeCell ref="F67:H67"/>
    <mergeCell ref="D5:E5"/>
    <mergeCell ref="Q5:S5"/>
    <mergeCell ref="F5:M5"/>
    <mergeCell ref="Z69:AA69"/>
    <mergeCell ref="C43:E43"/>
    <mergeCell ref="C44:E44"/>
    <mergeCell ref="C45:E45"/>
    <mergeCell ref="C51:E51"/>
    <mergeCell ref="C52:E52"/>
    <mergeCell ref="Z68:AA68"/>
    <mergeCell ref="Z65:AA65"/>
    <mergeCell ref="Z60:AA60"/>
    <mergeCell ref="A61:B61"/>
    <mergeCell ref="F61:H61"/>
    <mergeCell ref="I61:N61"/>
    <mergeCell ref="O61:P61"/>
    <mergeCell ref="Q61:Y61"/>
    <mergeCell ref="Z61:AA61"/>
    <mergeCell ref="A60:B60"/>
    <mergeCell ref="F60:H60"/>
    <mergeCell ref="I60:N60"/>
    <mergeCell ref="C60:E60"/>
    <mergeCell ref="C61:E61"/>
    <mergeCell ref="Z58:AA58"/>
    <mergeCell ref="A59:B59"/>
    <mergeCell ref="F59:H59"/>
    <mergeCell ref="I59:N59"/>
    <mergeCell ref="O59:P59"/>
    <mergeCell ref="Q59:Y59"/>
    <mergeCell ref="Z59:AA59"/>
    <mergeCell ref="A58:B58"/>
    <mergeCell ref="C58:E58"/>
    <mergeCell ref="F58:H58"/>
    <mergeCell ref="C59:E59"/>
    <mergeCell ref="O58:P58"/>
    <mergeCell ref="Q58:Y58"/>
    <mergeCell ref="I58:N58"/>
    <mergeCell ref="Z52:AA52"/>
    <mergeCell ref="A51:B51"/>
    <mergeCell ref="F51:H51"/>
    <mergeCell ref="I51:N51"/>
    <mergeCell ref="Z53:AA53"/>
    <mergeCell ref="Q51:Y51"/>
    <mergeCell ref="Z51:AA51"/>
    <mergeCell ref="C57:E57"/>
    <mergeCell ref="F57:H57"/>
    <mergeCell ref="I57:N57"/>
    <mergeCell ref="O57:P57"/>
    <mergeCell ref="Q57:Y57"/>
    <mergeCell ref="Z57:AA57"/>
    <mergeCell ref="F53:H53"/>
    <mergeCell ref="I53:N53"/>
    <mergeCell ref="C53:E53"/>
    <mergeCell ref="A53:B53"/>
    <mergeCell ref="C41:E41"/>
    <mergeCell ref="F41:H41"/>
    <mergeCell ref="I41:N41"/>
    <mergeCell ref="Z42:AA42"/>
    <mergeCell ref="Q42:Y42"/>
    <mergeCell ref="F43:H43"/>
    <mergeCell ref="I43:N43"/>
    <mergeCell ref="O43:P43"/>
    <mergeCell ref="Q43:Y43"/>
    <mergeCell ref="Z43:AA43"/>
    <mergeCell ref="C42:E42"/>
    <mergeCell ref="Z49:AA49"/>
    <mergeCell ref="F50:H50"/>
    <mergeCell ref="I50:N50"/>
    <mergeCell ref="O50:P50"/>
    <mergeCell ref="Q50:Y50"/>
    <mergeCell ref="Z50:AA50"/>
    <mergeCell ref="O41:P41"/>
    <mergeCell ref="Q41:Y41"/>
    <mergeCell ref="O51:P51"/>
    <mergeCell ref="Z41:AA41"/>
    <mergeCell ref="O42:P42"/>
    <mergeCell ref="F42:H42"/>
    <mergeCell ref="I42:N42"/>
    <mergeCell ref="Z44:AA44"/>
    <mergeCell ref="O44:P44"/>
    <mergeCell ref="Q44:Y44"/>
    <mergeCell ref="F45:H45"/>
    <mergeCell ref="I45:N45"/>
    <mergeCell ref="O45:P45"/>
    <mergeCell ref="Q45:Y45"/>
    <mergeCell ref="Z45:AA45"/>
    <mergeCell ref="A43:B43"/>
    <mergeCell ref="A42:B42"/>
    <mergeCell ref="A45:B45"/>
    <mergeCell ref="A44:B44"/>
    <mergeCell ref="F44:H44"/>
    <mergeCell ref="I44:N44"/>
    <mergeCell ref="A52:B52"/>
    <mergeCell ref="O53:P53"/>
    <mergeCell ref="Q53:Y53"/>
    <mergeCell ref="A50:B50"/>
    <mergeCell ref="C50:E50"/>
    <mergeCell ref="F52:H52"/>
    <mergeCell ref="I52:N52"/>
    <mergeCell ref="O52:P52"/>
    <mergeCell ref="Q52:Y52"/>
    <mergeCell ref="C49:E49"/>
    <mergeCell ref="F49:H49"/>
    <mergeCell ref="I49:N49"/>
    <mergeCell ref="O49:P49"/>
    <mergeCell ref="Q49:Y49"/>
    <mergeCell ref="A34:B34"/>
    <mergeCell ref="C34:E34"/>
    <mergeCell ref="F34:H34"/>
    <mergeCell ref="I34:N34"/>
    <mergeCell ref="I35:N35"/>
    <mergeCell ref="Z37:AA37"/>
    <mergeCell ref="C11:E11"/>
    <mergeCell ref="C12:E12"/>
    <mergeCell ref="C13:E13"/>
    <mergeCell ref="F11:H11"/>
    <mergeCell ref="F12:H12"/>
    <mergeCell ref="F13:H13"/>
    <mergeCell ref="I11:N11"/>
    <mergeCell ref="O35:P35"/>
    <mergeCell ref="Q35:Y35"/>
    <mergeCell ref="O36:P36"/>
    <mergeCell ref="Q36:Y36"/>
    <mergeCell ref="Z36:AA36"/>
    <mergeCell ref="Q33:Y33"/>
    <mergeCell ref="O34:P34"/>
    <mergeCell ref="Q34:Y34"/>
    <mergeCell ref="Z34:AA34"/>
    <mergeCell ref="Z35:AA35"/>
    <mergeCell ref="I29:N29"/>
    <mergeCell ref="A35:B35"/>
    <mergeCell ref="C35:E35"/>
    <mergeCell ref="A36:B36"/>
    <mergeCell ref="C36:E36"/>
    <mergeCell ref="F36:H36"/>
    <mergeCell ref="I36:N36"/>
    <mergeCell ref="F35:H35"/>
    <mergeCell ref="O37:P37"/>
    <mergeCell ref="Q37:Y37"/>
    <mergeCell ref="A37:B37"/>
    <mergeCell ref="C37:E37"/>
    <mergeCell ref="F37:H37"/>
    <mergeCell ref="I37:N37"/>
    <mergeCell ref="I33:N33"/>
    <mergeCell ref="O33:P33"/>
    <mergeCell ref="Z33:AA33"/>
    <mergeCell ref="A29:B29"/>
    <mergeCell ref="C29:E29"/>
    <mergeCell ref="O27:P27"/>
    <mergeCell ref="Q27:Y27"/>
    <mergeCell ref="F27:H27"/>
    <mergeCell ref="I27:N27"/>
    <mergeCell ref="O29:P29"/>
    <mergeCell ref="Q29:Y29"/>
    <mergeCell ref="Z29:AA29"/>
    <mergeCell ref="F29:H29"/>
    <mergeCell ref="C33:E33"/>
    <mergeCell ref="F33:H33"/>
    <mergeCell ref="Z26:AA26"/>
    <mergeCell ref="C25:E25"/>
    <mergeCell ref="F25:H25"/>
    <mergeCell ref="I25:N25"/>
    <mergeCell ref="O25:P25"/>
    <mergeCell ref="Z25:AA25"/>
    <mergeCell ref="Z27:AA27"/>
    <mergeCell ref="A28:B28"/>
    <mergeCell ref="C28:E28"/>
    <mergeCell ref="F28:H28"/>
    <mergeCell ref="I28:N28"/>
    <mergeCell ref="O28:P28"/>
    <mergeCell ref="Q28:Y28"/>
    <mergeCell ref="Z28:AA28"/>
    <mergeCell ref="A27:B27"/>
    <mergeCell ref="C27:E27"/>
    <mergeCell ref="A19:B19"/>
    <mergeCell ref="C19:E19"/>
    <mergeCell ref="F21:H21"/>
    <mergeCell ref="I21:N21"/>
    <mergeCell ref="A26:B26"/>
    <mergeCell ref="C26:E26"/>
    <mergeCell ref="F26:H26"/>
    <mergeCell ref="I26:N26"/>
    <mergeCell ref="O26:P26"/>
    <mergeCell ref="A21:B21"/>
    <mergeCell ref="C21:E21"/>
    <mergeCell ref="Q21:Y21"/>
    <mergeCell ref="O21:P21"/>
    <mergeCell ref="Z21:AA21"/>
    <mergeCell ref="A20:B20"/>
    <mergeCell ref="C20:E20"/>
    <mergeCell ref="F20:H20"/>
    <mergeCell ref="I20:N20"/>
    <mergeCell ref="O20:P20"/>
    <mergeCell ref="Q20:Y20"/>
    <mergeCell ref="Z20:AA20"/>
    <mergeCell ref="C18:E18"/>
    <mergeCell ref="F18:H18"/>
    <mergeCell ref="I18:N18"/>
    <mergeCell ref="O18:P18"/>
    <mergeCell ref="Q18:Y18"/>
    <mergeCell ref="Z18:AA18"/>
    <mergeCell ref="C17:E17"/>
    <mergeCell ref="Z19:AA19"/>
    <mergeCell ref="O19:P19"/>
    <mergeCell ref="Q19:Y19"/>
    <mergeCell ref="F19:H19"/>
    <mergeCell ref="I19:N19"/>
    <mergeCell ref="A1:AA2"/>
    <mergeCell ref="T5:X5"/>
    <mergeCell ref="Q12:Y12"/>
    <mergeCell ref="Q25:Y25"/>
    <mergeCell ref="Q26:Y26"/>
    <mergeCell ref="C9:E9"/>
    <mergeCell ref="F9:H9"/>
    <mergeCell ref="I9:N9"/>
    <mergeCell ref="O9:P9"/>
    <mergeCell ref="Q9:Y9"/>
    <mergeCell ref="Z9:AA9"/>
    <mergeCell ref="A10:B10"/>
    <mergeCell ref="C10:E10"/>
    <mergeCell ref="F10:H10"/>
    <mergeCell ref="I10:N10"/>
    <mergeCell ref="O10:P10"/>
    <mergeCell ref="Q10:Y10"/>
    <mergeCell ref="Z10:AA10"/>
    <mergeCell ref="A13:B13"/>
    <mergeCell ref="O11:P11"/>
    <mergeCell ref="Q11:Y11"/>
    <mergeCell ref="Z11:AA11"/>
    <mergeCell ref="A12:B12"/>
    <mergeCell ref="I12:N12"/>
    <mergeCell ref="A3:AA3"/>
    <mergeCell ref="G72:J72"/>
    <mergeCell ref="J73:N73"/>
    <mergeCell ref="K15:L15"/>
    <mergeCell ref="K23:L23"/>
    <mergeCell ref="K31:L31"/>
    <mergeCell ref="K39:L39"/>
    <mergeCell ref="K47:L47"/>
    <mergeCell ref="K63:L63"/>
    <mergeCell ref="K55:L55"/>
    <mergeCell ref="K7:L7"/>
    <mergeCell ref="O12:P12"/>
    <mergeCell ref="Z12:AA12"/>
    <mergeCell ref="A11:B11"/>
    <mergeCell ref="Q13:Y13"/>
    <mergeCell ref="Z13:AA13"/>
    <mergeCell ref="I13:N13"/>
    <mergeCell ref="F17:H17"/>
    <mergeCell ref="I17:N17"/>
    <mergeCell ref="O17:P17"/>
    <mergeCell ref="O13:P13"/>
    <mergeCell ref="Q17:Y17"/>
    <mergeCell ref="Z17:AA17"/>
    <mergeCell ref="A18:B18"/>
    <mergeCell ref="Z67:AA67"/>
    <mergeCell ref="A68:B68"/>
    <mergeCell ref="C68:E68"/>
    <mergeCell ref="F68:H68"/>
    <mergeCell ref="I68:N68"/>
    <mergeCell ref="O68:P68"/>
    <mergeCell ref="Q68:Y68"/>
    <mergeCell ref="A69:B69"/>
    <mergeCell ref="O67:P67"/>
    <mergeCell ref="Q67:Y67"/>
    <mergeCell ref="I67:N67"/>
    <mergeCell ref="I69:N69"/>
    <mergeCell ref="F69:H69"/>
    <mergeCell ref="C69:E69"/>
    <mergeCell ref="A67:B67"/>
    <mergeCell ref="C65:E65"/>
    <mergeCell ref="F65:H65"/>
    <mergeCell ref="I65:N65"/>
    <mergeCell ref="O65:P65"/>
    <mergeCell ref="Q65:Y65"/>
    <mergeCell ref="O60:P60"/>
    <mergeCell ref="Q60:Y60"/>
    <mergeCell ref="O69:P69"/>
    <mergeCell ref="Q69:Y69"/>
  </mergeCells>
  <phoneticPr fontId="0" type="noConversion"/>
  <conditionalFormatting sqref="A1:XFD1048576">
    <cfRule type="cellIs" dxfId="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11811023622047245" footer="0.47244094488188981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92D050"/>
  </sheetPr>
  <dimension ref="A1:BV231"/>
  <sheetViews>
    <sheetView showGridLines="0" showZeros="0" view="pageBreakPreview" zoomScale="75" zoomScaleNormal="75" zoomScaleSheetLayoutView="75" zoomScalePageLayoutView="50" workbookViewId="0">
      <selection activeCell="Y50" sqref="Y50"/>
    </sheetView>
  </sheetViews>
  <sheetFormatPr baseColWidth="10" defaultColWidth="11.42578125" defaultRowHeight="15.75" x14ac:dyDescent="0.25"/>
  <cols>
    <col min="1" max="4" width="3.7109375" style="135" customWidth="1"/>
    <col min="5" max="5" width="4.7109375" style="135" customWidth="1"/>
    <col min="6" max="9" width="3.7109375" style="135" customWidth="1"/>
    <col min="10" max="10" width="4.7109375" style="135" customWidth="1"/>
    <col min="11" max="14" width="3.7109375" style="135" customWidth="1"/>
    <col min="15" max="15" width="4.7109375" style="135" customWidth="1"/>
    <col min="16" max="16" width="3.7109375" style="137" customWidth="1"/>
    <col min="17" max="19" width="3.7109375" style="135" customWidth="1"/>
    <col min="20" max="20" width="4.7109375" style="135" customWidth="1"/>
    <col min="21" max="21" width="3.7109375" style="137" customWidth="1"/>
    <col min="22" max="27" width="3.7109375" style="135" customWidth="1"/>
    <col min="28" max="28" width="3.7109375" style="137" customWidth="1"/>
    <col min="29" max="31" width="3.7109375" style="135" customWidth="1"/>
    <col min="32" max="32" width="4.7109375" style="135" customWidth="1"/>
    <col min="33" max="36" width="3.7109375" style="135" customWidth="1"/>
    <col min="37" max="37" width="4.7109375" style="135" customWidth="1"/>
    <col min="38" max="41" width="3.7109375" style="135" customWidth="1"/>
    <col min="42" max="42" width="4.7109375" style="135" customWidth="1"/>
    <col min="43" max="46" width="3.7109375" style="135" customWidth="1"/>
    <col min="47" max="47" width="4.7109375" style="135" customWidth="1"/>
    <col min="48" max="49" width="3.7109375" style="135" customWidth="1"/>
    <col min="50" max="51" width="7.7109375" style="135" customWidth="1"/>
    <col min="52" max="52" width="1" style="135" customWidth="1"/>
    <col min="53" max="53" width="3.140625" style="135" customWidth="1"/>
    <col min="54" max="54" width="11.42578125" style="135"/>
    <col min="55" max="55" width="2.7109375" style="145" customWidth="1"/>
    <col min="56" max="56" width="11.42578125" style="145"/>
    <col min="57" max="57" width="8.7109375" style="145" customWidth="1"/>
    <col min="58" max="58" width="5.7109375" style="145" customWidth="1"/>
    <col min="59" max="59" width="5.7109375" style="157" customWidth="1"/>
    <col min="60" max="61" width="8.7109375" style="157" customWidth="1"/>
    <col min="62" max="62" width="10.85546875" style="145" customWidth="1"/>
    <col min="63" max="63" width="2.28515625" style="145" customWidth="1"/>
    <col min="64" max="64" width="3" style="145" customWidth="1"/>
    <col min="65" max="66" width="11.42578125" style="145"/>
    <col min="67" max="74" width="3.140625" style="146" customWidth="1"/>
    <col min="75" max="16384" width="11.42578125" style="135"/>
  </cols>
  <sheetData>
    <row r="1" spans="1:74" ht="28.5" x14ac:dyDescent="0.25">
      <c r="A1" s="983" t="s">
        <v>296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  <c r="V1" s="984" t="str">
        <f>Rens!A1</f>
        <v>Circuit décathlon</v>
      </c>
      <c r="W1" s="985"/>
      <c r="X1" s="985"/>
      <c r="Y1" s="985"/>
      <c r="Z1" s="985"/>
      <c r="AA1" s="985"/>
      <c r="AB1" s="985"/>
      <c r="AC1" s="985"/>
      <c r="AD1" s="985"/>
      <c r="AE1" s="985"/>
      <c r="AF1" s="985"/>
      <c r="AG1" s="985"/>
      <c r="AH1" s="985"/>
      <c r="AI1" s="985"/>
      <c r="AJ1" s="985"/>
      <c r="AK1" s="985"/>
      <c r="AL1" s="985"/>
      <c r="AM1" s="985"/>
      <c r="AN1" s="985"/>
      <c r="AO1" s="985"/>
      <c r="AP1" s="985"/>
      <c r="AQ1" s="985"/>
      <c r="AR1" s="985"/>
      <c r="AS1" s="985"/>
      <c r="AT1" s="985"/>
      <c r="AU1" s="986"/>
    </row>
    <row r="2" spans="1:74" ht="28.5" x14ac:dyDescent="0.25">
      <c r="A2" s="983" t="s">
        <v>168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983"/>
      <c r="N2" s="983"/>
      <c r="O2" s="983"/>
      <c r="P2" s="983"/>
      <c r="Q2" s="983"/>
      <c r="R2" s="983"/>
      <c r="S2" s="983"/>
      <c r="T2" s="983"/>
      <c r="U2" s="983"/>
      <c r="V2" s="984" t="str">
        <f>Rens!B3</f>
        <v>Minimes</v>
      </c>
      <c r="W2" s="985"/>
      <c r="X2" s="985"/>
      <c r="Y2" s="985"/>
      <c r="Z2" s="985"/>
      <c r="AA2" s="985"/>
      <c r="AB2" s="985"/>
      <c r="AC2" s="985"/>
      <c r="AD2" s="985"/>
      <c r="AE2" s="985"/>
      <c r="AF2" s="985"/>
      <c r="AG2" s="985"/>
      <c r="AH2" s="985"/>
      <c r="AI2" s="985"/>
      <c r="AJ2" s="985"/>
      <c r="AK2" s="985"/>
      <c r="AL2" s="985"/>
      <c r="AM2" s="985"/>
      <c r="AN2" s="985"/>
      <c r="AO2" s="985"/>
      <c r="AP2" s="985"/>
      <c r="AQ2" s="985"/>
      <c r="AR2" s="985"/>
      <c r="AS2" s="985"/>
      <c r="AT2" s="985"/>
      <c r="AU2" s="986"/>
    </row>
    <row r="3" spans="1:74" ht="28.5" x14ac:dyDescent="0.25">
      <c r="A3" s="983" t="s">
        <v>164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3"/>
      <c r="P3" s="983"/>
      <c r="Q3" s="983"/>
      <c r="R3" s="983"/>
      <c r="S3" s="983"/>
      <c r="T3" s="983"/>
      <c r="U3" s="983"/>
      <c r="V3" s="984">
        <f>Rens!E2</f>
        <v>1</v>
      </c>
      <c r="W3" s="985"/>
      <c r="X3" s="985"/>
      <c r="Y3" s="985"/>
      <c r="Z3" s="985"/>
      <c r="AA3" s="985"/>
      <c r="AB3" s="985"/>
      <c r="AC3" s="985"/>
      <c r="AD3" s="985"/>
      <c r="AE3" s="985"/>
      <c r="AF3" s="985"/>
      <c r="AG3" s="985"/>
      <c r="AH3" s="985"/>
      <c r="AI3" s="985"/>
      <c r="AJ3" s="985"/>
      <c r="AK3" s="985"/>
      <c r="AL3" s="985"/>
      <c r="AM3" s="985"/>
      <c r="AN3" s="985"/>
      <c r="AO3" s="985"/>
      <c r="AP3" s="985"/>
      <c r="AQ3" s="985"/>
      <c r="AR3" s="985"/>
      <c r="AS3" s="985"/>
      <c r="AT3" s="985"/>
      <c r="AU3" s="986"/>
    </row>
    <row r="4" spans="1:74" ht="29.25" thickBot="1" x14ac:dyDescent="0.3">
      <c r="A4" s="983" t="s">
        <v>297</v>
      </c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4">
        <f>Rens!B4</f>
        <v>43421</v>
      </c>
      <c r="W4" s="985"/>
      <c r="X4" s="985"/>
      <c r="Y4" s="985"/>
      <c r="Z4" s="985"/>
      <c r="AA4" s="985"/>
      <c r="AB4" s="985"/>
      <c r="AC4" s="985"/>
      <c r="AD4" s="985"/>
      <c r="AE4" s="985"/>
      <c r="AF4" s="985"/>
      <c r="AG4" s="985"/>
      <c r="AH4" s="985"/>
      <c r="AI4" s="985"/>
      <c r="AJ4" s="985"/>
      <c r="AK4" s="985"/>
      <c r="AL4" s="985"/>
      <c r="AM4" s="985"/>
      <c r="AN4" s="985"/>
      <c r="AO4" s="985"/>
      <c r="AP4" s="985"/>
      <c r="AQ4" s="985"/>
      <c r="AR4" s="985"/>
      <c r="AS4" s="985"/>
      <c r="AT4" s="985"/>
      <c r="AU4" s="986"/>
    </row>
    <row r="5" spans="1:74" s="110" customFormat="1" ht="18.75" customHeight="1" thickBot="1" x14ac:dyDescent="0.35">
      <c r="A5" s="346"/>
      <c r="B5" s="346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109"/>
      <c r="BC5" s="111"/>
      <c r="BD5" s="111"/>
      <c r="BE5" s="111"/>
      <c r="BF5" s="111"/>
      <c r="BG5" s="112"/>
      <c r="BH5" s="112"/>
      <c r="BI5" s="112"/>
      <c r="BJ5" s="113"/>
      <c r="BK5" s="114"/>
      <c r="BL5" s="115"/>
      <c r="BM5" s="116"/>
      <c r="BN5" s="117"/>
      <c r="BO5" s="118"/>
      <c r="BP5" s="118"/>
      <c r="BQ5" s="118"/>
      <c r="BR5" s="118"/>
      <c r="BS5" s="119"/>
      <c r="BT5" s="118"/>
      <c r="BU5" s="118"/>
      <c r="BV5" s="118"/>
    </row>
    <row r="6" spans="1:74" s="110" customFormat="1" ht="18.75" customHeight="1" thickBot="1" x14ac:dyDescent="0.35">
      <c r="A6" s="346"/>
      <c r="B6" s="346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109"/>
      <c r="BC6" s="120">
        <v>1</v>
      </c>
      <c r="BD6" s="111" t="str">
        <f>MID(BE6,1,2)</f>
        <v>A1</v>
      </c>
      <c r="BE6" s="121" t="str">
        <f>'Poules A-B'!$AB$9</f>
        <v>A1</v>
      </c>
      <c r="BF6" s="112">
        <v>1</v>
      </c>
      <c r="BG6" s="112" t="str">
        <f>poA&amp;1</f>
        <v>A1</v>
      </c>
      <c r="BH6" s="112" t="str">
        <f>VLOOKUP(ponum,clpo,2,FALSE)</f>
        <v>A1</v>
      </c>
      <c r="BI6" s="112" t="str">
        <f>MID(BH6,3,2)</f>
        <v/>
      </c>
      <c r="BJ6" s="122"/>
      <c r="BK6" s="123"/>
      <c r="BL6" s="124"/>
      <c r="BM6" s="125" t="s">
        <v>34</v>
      </c>
      <c r="BN6" s="126"/>
      <c r="BO6" s="127">
        <v>1</v>
      </c>
      <c r="BP6" s="127">
        <v>2</v>
      </c>
      <c r="BQ6" s="127">
        <v>3</v>
      </c>
      <c r="BR6" s="127">
        <v>4</v>
      </c>
      <c r="BS6" s="127">
        <v>5</v>
      </c>
      <c r="BT6" s="127">
        <v>6</v>
      </c>
      <c r="BU6" s="127">
        <v>7</v>
      </c>
      <c r="BV6" s="127">
        <v>8</v>
      </c>
    </row>
    <row r="7" spans="1:74" s="128" customFormat="1" ht="18.75" customHeight="1" thickBot="1" x14ac:dyDescent="0.35">
      <c r="A7" s="978" t="s">
        <v>254</v>
      </c>
      <c r="B7" s="978"/>
      <c r="C7" s="978"/>
      <c r="D7" s="978"/>
      <c r="E7" s="978"/>
      <c r="F7" s="978" t="s">
        <v>219</v>
      </c>
      <c r="G7" s="978"/>
      <c r="H7" s="978"/>
      <c r="I7" s="978"/>
      <c r="J7" s="978"/>
      <c r="K7" s="978" t="s">
        <v>197</v>
      </c>
      <c r="L7" s="978"/>
      <c r="M7" s="978"/>
      <c r="N7" s="978"/>
      <c r="O7" s="978"/>
      <c r="P7" s="978" t="s">
        <v>193</v>
      </c>
      <c r="Q7" s="978"/>
      <c r="R7" s="978"/>
      <c r="S7" s="978"/>
      <c r="T7" s="978"/>
      <c r="U7" s="978" t="s">
        <v>95</v>
      </c>
      <c r="V7" s="978"/>
      <c r="W7" s="978"/>
      <c r="X7" s="978"/>
      <c r="Y7" s="978"/>
      <c r="Z7" s="978"/>
      <c r="AA7" s="978"/>
      <c r="AB7" s="978" t="s">
        <v>194</v>
      </c>
      <c r="AC7" s="978"/>
      <c r="AD7" s="978"/>
      <c r="AE7" s="978"/>
      <c r="AF7" s="978"/>
      <c r="AG7" s="978" t="s">
        <v>96</v>
      </c>
      <c r="AH7" s="978"/>
      <c r="AI7" s="978"/>
      <c r="AJ7" s="978"/>
      <c r="AK7" s="978"/>
      <c r="AL7" s="978" t="s">
        <v>97</v>
      </c>
      <c r="AM7" s="978"/>
      <c r="AN7" s="978"/>
      <c r="AO7" s="978"/>
      <c r="AP7" s="978"/>
      <c r="AQ7" s="978" t="s">
        <v>98</v>
      </c>
      <c r="AR7" s="978"/>
      <c r="AS7" s="978"/>
      <c r="AT7" s="978"/>
      <c r="AU7" s="978"/>
      <c r="AV7" s="348"/>
      <c r="AW7" s="348"/>
      <c r="AX7" s="348"/>
      <c r="AY7" s="348"/>
      <c r="BC7" s="129"/>
      <c r="BD7" s="111" t="str">
        <f>MID(BE7,1,2)</f>
        <v>A1</v>
      </c>
      <c r="BE7" s="121" t="str">
        <f>'Poules A-B'!$AB$10</f>
        <v>A16</v>
      </c>
      <c r="BF7" s="112">
        <v>15</v>
      </c>
      <c r="BG7" s="112" t="str">
        <f>poA&amp;2</f>
        <v>A2</v>
      </c>
      <c r="BH7" s="112" t="e">
        <f t="shared" ref="BH7:BH37" si="0">VLOOKUP(ponum,clpo,2,FALSE)</f>
        <v>#N/A</v>
      </c>
      <c r="BI7" s="112" t="e">
        <f t="shared" ref="BI7:BI37" si="1">MID(BH7,3,2)</f>
        <v>#N/A</v>
      </c>
      <c r="BJ7" s="130" t="s">
        <v>4</v>
      </c>
      <c r="BK7" s="131"/>
      <c r="BL7" s="132"/>
      <c r="BM7" s="125" t="s">
        <v>59</v>
      </c>
      <c r="BN7" s="126"/>
      <c r="BO7" s="127">
        <v>15</v>
      </c>
      <c r="BP7" s="127">
        <v>16</v>
      </c>
      <c r="BQ7" s="127">
        <v>13</v>
      </c>
      <c r="BR7" s="127">
        <v>14</v>
      </c>
      <c r="BS7" s="127">
        <v>11</v>
      </c>
      <c r="BT7" s="127">
        <v>12</v>
      </c>
      <c r="BU7" s="127">
        <v>9</v>
      </c>
      <c r="BV7" s="127">
        <v>10</v>
      </c>
    </row>
    <row r="8" spans="1:74" ht="18.75" customHeight="1" thickBot="1" x14ac:dyDescent="0.3">
      <c r="A8" s="979"/>
      <c r="B8" s="980"/>
      <c r="C8" s="980"/>
      <c r="D8" s="980"/>
      <c r="E8" s="980"/>
      <c r="F8" s="979">
        <f>Rens!F41</f>
        <v>0</v>
      </c>
      <c r="G8" s="980"/>
      <c r="H8" s="980"/>
      <c r="I8" s="980"/>
      <c r="J8" s="980"/>
      <c r="K8" s="979">
        <f>Rens!F29</f>
        <v>0</v>
      </c>
      <c r="L8" s="980"/>
      <c r="M8" s="980"/>
      <c r="N8" s="980"/>
      <c r="O8" s="980"/>
      <c r="P8" s="979">
        <f>Rens!F18</f>
        <v>0</v>
      </c>
      <c r="Q8" s="980"/>
      <c r="R8" s="980"/>
      <c r="S8" s="980"/>
      <c r="T8" s="980"/>
      <c r="U8" s="979">
        <f>Rens!B18</f>
        <v>0</v>
      </c>
      <c r="V8" s="980"/>
      <c r="W8" s="980"/>
      <c r="X8" s="980"/>
      <c r="Y8" s="980"/>
      <c r="Z8" s="980"/>
      <c r="AA8" s="980"/>
      <c r="AB8" s="979">
        <f>Rens!J18</f>
        <v>0</v>
      </c>
      <c r="AC8" s="980"/>
      <c r="AD8" s="980"/>
      <c r="AE8" s="980"/>
      <c r="AF8" s="980"/>
      <c r="AG8" s="979">
        <f>Rens!J29</f>
        <v>0</v>
      </c>
      <c r="AH8" s="980"/>
      <c r="AI8" s="980"/>
      <c r="AJ8" s="980"/>
      <c r="AK8" s="980"/>
      <c r="AL8" s="981">
        <f>Rens!J41</f>
        <v>0</v>
      </c>
      <c r="AM8" s="982"/>
      <c r="AN8" s="982"/>
      <c r="AO8" s="982"/>
      <c r="AP8" s="982"/>
      <c r="AQ8" s="979">
        <f>Rens!J55</f>
        <v>0</v>
      </c>
      <c r="AR8" s="980"/>
      <c r="AS8" s="980"/>
      <c r="AT8" s="980"/>
      <c r="AU8" s="980"/>
      <c r="AV8" s="349"/>
      <c r="AW8" s="349"/>
      <c r="AX8" s="349"/>
      <c r="AY8" s="349"/>
      <c r="BC8" s="120"/>
      <c r="BD8" s="111" t="str">
        <f t="shared" ref="BD8:BD37" si="2">MID(BE8,1,2)</f>
        <v>A1</v>
      </c>
      <c r="BE8" s="121" t="str">
        <f>'Poules A-B'!$AB$11</f>
        <v>A17</v>
      </c>
      <c r="BF8" s="112">
        <v>19</v>
      </c>
      <c r="BG8" s="112" t="str">
        <f>poA&amp;3</f>
        <v>A3</v>
      </c>
      <c r="BH8" s="112" t="str">
        <f t="shared" si="0"/>
        <v>A32</v>
      </c>
      <c r="BI8" s="112" t="str">
        <f t="shared" si="1"/>
        <v>2</v>
      </c>
      <c r="BJ8" s="138"/>
      <c r="BK8" s="131"/>
      <c r="BL8" s="132"/>
      <c r="BM8" s="125" t="s">
        <v>60</v>
      </c>
      <c r="BN8" s="126"/>
      <c r="BO8" s="127">
        <v>19</v>
      </c>
      <c r="BP8" s="127">
        <v>20</v>
      </c>
      <c r="BQ8" s="127">
        <v>17</v>
      </c>
      <c r="BR8" s="127">
        <v>18</v>
      </c>
      <c r="BS8" s="127">
        <v>23</v>
      </c>
      <c r="BT8" s="127">
        <v>24</v>
      </c>
      <c r="BU8" s="127">
        <v>21</v>
      </c>
      <c r="BV8" s="127">
        <v>22</v>
      </c>
    </row>
    <row r="9" spans="1:74" ht="18.75" customHeight="1" thickBot="1" x14ac:dyDescent="0.3">
      <c r="A9" s="350"/>
      <c r="B9" s="350"/>
      <c r="C9" s="351"/>
      <c r="D9" s="351"/>
      <c r="E9" s="351"/>
      <c r="F9" s="351"/>
      <c r="G9" s="351"/>
      <c r="H9" s="351"/>
      <c r="I9" s="351"/>
      <c r="J9" s="349"/>
      <c r="K9" s="349"/>
      <c r="L9" s="349"/>
      <c r="M9" s="349"/>
      <c r="N9" s="349"/>
      <c r="O9" s="350"/>
      <c r="P9" s="352">
        <v>32</v>
      </c>
      <c r="Q9" s="349"/>
      <c r="R9" s="349"/>
      <c r="S9" s="353"/>
      <c r="T9" s="349"/>
      <c r="U9" s="354"/>
      <c r="V9" s="349"/>
      <c r="W9" s="349"/>
      <c r="X9" s="349"/>
      <c r="Y9" s="349"/>
      <c r="Z9" s="349"/>
      <c r="AA9" s="349"/>
      <c r="AB9" s="352">
        <v>1</v>
      </c>
      <c r="AC9" s="349"/>
      <c r="AD9" s="349"/>
      <c r="AE9" s="349"/>
      <c r="AF9" s="349"/>
      <c r="AG9" s="349"/>
      <c r="AH9" s="349"/>
      <c r="AI9" s="350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976"/>
      <c r="AV9" s="976"/>
      <c r="AW9" s="976"/>
      <c r="AX9" s="976"/>
      <c r="AY9" s="976"/>
      <c r="BC9" s="120"/>
      <c r="BD9" s="111" t="str">
        <f t="shared" si="2"/>
        <v>A3</v>
      </c>
      <c r="BE9" s="121" t="str">
        <f>'Poules A-B'!$AB$12</f>
        <v>A32</v>
      </c>
      <c r="BF9" s="112">
        <v>29</v>
      </c>
      <c r="BG9" s="112" t="str">
        <f>poA&amp;4</f>
        <v>A4</v>
      </c>
      <c r="BH9" s="112" t="e">
        <f t="shared" si="0"/>
        <v>#N/A</v>
      </c>
      <c r="BI9" s="112" t="e">
        <f t="shared" si="1"/>
        <v>#N/A</v>
      </c>
      <c r="BJ9" s="140"/>
      <c r="BK9" s="141"/>
      <c r="BL9" s="142"/>
      <c r="BM9" s="125" t="s">
        <v>62</v>
      </c>
      <c r="BN9" s="126"/>
      <c r="BO9" s="127">
        <v>29</v>
      </c>
      <c r="BP9" s="127">
        <v>30</v>
      </c>
      <c r="BQ9" s="127">
        <v>31</v>
      </c>
      <c r="BR9" s="127">
        <v>32</v>
      </c>
      <c r="BS9" s="127">
        <v>25</v>
      </c>
      <c r="BT9" s="127">
        <v>26</v>
      </c>
      <c r="BU9" s="127">
        <v>27</v>
      </c>
      <c r="BV9" s="127">
        <v>28</v>
      </c>
    </row>
    <row r="10" spans="1:74" ht="18.75" customHeight="1" x14ac:dyDescent="0.25">
      <c r="A10" s="351"/>
      <c r="B10" s="351"/>
      <c r="C10" s="351"/>
      <c r="D10" s="351"/>
      <c r="E10" s="351"/>
      <c r="F10" s="351"/>
      <c r="G10" s="351"/>
      <c r="H10" s="351"/>
      <c r="I10" s="351"/>
      <c r="J10" s="349"/>
      <c r="K10" s="349"/>
      <c r="L10" s="349"/>
      <c r="M10" s="349"/>
      <c r="N10" s="349"/>
      <c r="O10" s="349"/>
      <c r="P10" s="355" t="str">
        <f>IF(TF="N","",VALUE(VLOOKUP(P9,TIR,4,FALSE)))</f>
        <v/>
      </c>
      <c r="Q10" s="356" t="str">
        <f>IF(P10="","",VLOOKUP(P10,liste!$A$9:$H$145,2,FALSE))</f>
        <v/>
      </c>
      <c r="R10" s="357"/>
      <c r="S10" s="357"/>
      <c r="T10" s="357"/>
      <c r="U10" s="352">
        <v>17</v>
      </c>
      <c r="V10" s="358"/>
      <c r="W10" s="358"/>
      <c r="X10" s="358"/>
      <c r="Y10" s="358"/>
      <c r="Z10" s="349"/>
      <c r="AA10" s="349"/>
      <c r="AB10" s="355" t="str">
        <f>IF(TF="N","",VALUE(VLOOKUP(AB9,TIR,4,FALSE)))</f>
        <v/>
      </c>
      <c r="AC10" s="356" t="str">
        <f>IF(AB10="","",VLOOKUP(AB10,liste!$A$9:$H$145,2,FALSE))</f>
        <v/>
      </c>
      <c r="AD10" s="359"/>
      <c r="AE10" s="359"/>
      <c r="AF10" s="359"/>
      <c r="AG10" s="351"/>
      <c r="AH10" s="351"/>
      <c r="AI10" s="351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977"/>
      <c r="AV10" s="977"/>
      <c r="AW10" s="977"/>
      <c r="AX10" s="977"/>
      <c r="AY10" s="977"/>
      <c r="BC10" s="120">
        <v>2</v>
      </c>
      <c r="BD10" s="111" t="str">
        <f t="shared" si="2"/>
        <v>B2</v>
      </c>
      <c r="BE10" s="121" t="str">
        <f>'Poules A-B'!$AB$38</f>
        <v>B2</v>
      </c>
      <c r="BF10" s="112">
        <v>2</v>
      </c>
      <c r="BG10" s="112" t="str">
        <f>poB&amp;1</f>
        <v>B1</v>
      </c>
      <c r="BH10" s="112" t="str">
        <f t="shared" si="0"/>
        <v>B15</v>
      </c>
      <c r="BI10" s="112" t="str">
        <f t="shared" si="1"/>
        <v>5</v>
      </c>
    </row>
    <row r="11" spans="1:74" ht="18.75" customHeight="1" x14ac:dyDescent="0.25">
      <c r="A11" s="349"/>
      <c r="B11" s="349"/>
      <c r="C11" s="349"/>
      <c r="D11" s="349"/>
      <c r="E11" s="349"/>
      <c r="F11" s="349"/>
      <c r="G11" s="349"/>
      <c r="H11" s="349"/>
      <c r="I11" s="349"/>
      <c r="J11" s="349"/>
      <c r="K11" s="360"/>
      <c r="L11" s="361" t="str">
        <f>IF(K11="","",VLOOKUP(K11,liste!$A$9:$H$145,2,FALSE))</f>
        <v/>
      </c>
      <c r="M11" s="357"/>
      <c r="N11" s="357"/>
      <c r="O11" s="362"/>
      <c r="P11" s="354"/>
      <c r="Q11" s="349" t="s">
        <v>99</v>
      </c>
      <c r="R11" s="729" t="str">
        <f>IF(TF="n","","T."&amp;Rens!G18)</f>
        <v/>
      </c>
      <c r="S11" s="363"/>
      <c r="T11" s="349"/>
      <c r="U11" s="355" t="str">
        <f>IF(TF="N","",VALUE(VLOOKUP(U10,TIR,4,FALSE)))</f>
        <v/>
      </c>
      <c r="V11" s="356" t="str">
        <f>IF(U11="","",VLOOKUP(U11,liste!$A$9:$H$145,2,FALSE))</f>
        <v/>
      </c>
      <c r="W11" s="359"/>
      <c r="X11" s="359"/>
      <c r="Y11" s="359"/>
      <c r="Z11" s="359"/>
      <c r="AA11" s="359"/>
      <c r="AB11" s="354"/>
      <c r="AC11" s="349"/>
      <c r="AD11" s="349"/>
      <c r="AE11" s="730" t="str">
        <f>IF(TF="N","","T."&amp;Rens!K18)</f>
        <v/>
      </c>
      <c r="AF11" s="364" t="s">
        <v>74</v>
      </c>
      <c r="AG11" s="360"/>
      <c r="AH11" s="356" t="str">
        <f>IF(AG11="","",VLOOKUP(AG11,liste!$A$9:$H$145,2,FALSE))</f>
        <v/>
      </c>
      <c r="AI11" s="365"/>
      <c r="AJ11" s="366"/>
      <c r="AK11" s="366"/>
      <c r="AL11" s="349"/>
      <c r="AM11" s="349"/>
      <c r="AN11" s="349"/>
      <c r="AO11" s="349"/>
      <c r="AP11" s="349"/>
      <c r="AQ11" s="349"/>
      <c r="AR11" s="349"/>
      <c r="AS11" s="349"/>
      <c r="AT11" s="349"/>
      <c r="AU11" s="367"/>
      <c r="AV11" s="367"/>
      <c r="AW11" s="367"/>
      <c r="AX11" s="367"/>
      <c r="AY11" s="351"/>
      <c r="BC11" s="120"/>
      <c r="BD11" s="111" t="str">
        <f t="shared" si="2"/>
        <v>B1</v>
      </c>
      <c r="BE11" s="121" t="str">
        <f>'Poules A-B'!$AB$39</f>
        <v>B15</v>
      </c>
      <c r="BF11" s="112">
        <v>16</v>
      </c>
      <c r="BG11" s="112" t="str">
        <f>poB&amp;2</f>
        <v>B2</v>
      </c>
      <c r="BH11" s="112" t="str">
        <f t="shared" si="0"/>
        <v>B2</v>
      </c>
      <c r="BI11" s="112" t="str">
        <f t="shared" si="1"/>
        <v/>
      </c>
    </row>
    <row r="12" spans="1:74" ht="18.75" customHeight="1" x14ac:dyDescent="0.25">
      <c r="A12" s="350"/>
      <c r="B12" s="350"/>
      <c r="C12" s="350"/>
      <c r="D12" s="350"/>
      <c r="E12" s="350"/>
      <c r="F12" s="350"/>
      <c r="G12" s="350"/>
      <c r="H12" s="349"/>
      <c r="I12" s="350"/>
      <c r="J12" s="368"/>
      <c r="K12" s="349"/>
      <c r="L12" s="349"/>
      <c r="M12" s="349"/>
      <c r="N12" s="349"/>
      <c r="O12" s="368"/>
      <c r="P12" s="369" t="str">
        <f>IF(AB12="","",IF(AB12=U11,U13,IF(AB12=U13,U11)))</f>
        <v/>
      </c>
      <c r="Q12" s="361" t="str">
        <f>IF(P12="","",VLOOKUP(P12,liste!$A$9:$H$145,2,FALSE))</f>
        <v/>
      </c>
      <c r="R12" s="370"/>
      <c r="S12" s="357"/>
      <c r="T12" s="362"/>
      <c r="U12" s="352">
        <v>16</v>
      </c>
      <c r="V12" s="349"/>
      <c r="W12" s="731"/>
      <c r="X12" s="349"/>
      <c r="Y12" s="349"/>
      <c r="Z12" s="732" t="str">
        <f>IF(TF="n","","T."&amp;Rens!C18)</f>
        <v/>
      </c>
      <c r="AA12" s="349"/>
      <c r="AB12" s="371"/>
      <c r="AC12" s="356" t="str">
        <f>IF(AB12="","",VLOOKUP(AB12,liste!$A$9:$H$145,2,FALSE))</f>
        <v/>
      </c>
      <c r="AD12" s="359"/>
      <c r="AE12" s="359"/>
      <c r="AF12" s="372"/>
      <c r="AG12" s="351"/>
      <c r="AH12" s="351"/>
      <c r="AI12" s="351"/>
      <c r="AJ12" s="349"/>
      <c r="AK12" s="349"/>
      <c r="AL12" s="373"/>
      <c r="AM12" s="351"/>
      <c r="AN12" s="349"/>
      <c r="AO12" s="351"/>
      <c r="AP12" s="349"/>
      <c r="AQ12" s="349"/>
      <c r="AR12" s="349"/>
      <c r="AS12" s="349"/>
      <c r="AT12" s="367"/>
      <c r="AU12" s="974"/>
      <c r="AV12" s="974"/>
      <c r="AW12" s="974"/>
      <c r="AX12" s="974"/>
      <c r="AY12" s="974"/>
      <c r="BC12" s="120"/>
      <c r="BD12" s="111" t="str">
        <f t="shared" si="2"/>
        <v>B1</v>
      </c>
      <c r="BE12" s="121" t="str">
        <f>'Poules A-B'!$AB$40</f>
        <v>B18</v>
      </c>
      <c r="BF12" s="112">
        <v>20</v>
      </c>
      <c r="BG12" s="112" t="str">
        <f>poB&amp;3</f>
        <v>B3</v>
      </c>
      <c r="BH12" s="112" t="str">
        <f t="shared" si="0"/>
        <v>B31</v>
      </c>
      <c r="BI12" s="112" t="str">
        <f t="shared" si="1"/>
        <v>1</v>
      </c>
    </row>
    <row r="13" spans="1:74" ht="18.75" customHeight="1" x14ac:dyDescent="0.25">
      <c r="A13" s="349"/>
      <c r="B13" s="349"/>
      <c r="C13" s="349"/>
      <c r="D13" s="349"/>
      <c r="E13" s="349"/>
      <c r="F13" s="349"/>
      <c r="G13" s="349"/>
      <c r="H13" s="349"/>
      <c r="I13" s="349"/>
      <c r="J13" s="368"/>
      <c r="K13" s="349"/>
      <c r="L13" s="349"/>
      <c r="M13" s="349"/>
      <c r="N13" s="349"/>
      <c r="O13" s="349"/>
      <c r="P13" s="354"/>
      <c r="Q13" s="349"/>
      <c r="R13" s="349"/>
      <c r="S13" s="351"/>
      <c r="T13" s="368"/>
      <c r="U13" s="355" t="str">
        <f>IF(TF="N","",VALUE(VLOOKUP(U12,TIR,4,FALSE)))</f>
        <v/>
      </c>
      <c r="V13" s="356" t="str">
        <f>IF(U13="","",VLOOKUP(U13,liste!$A$9:$H$145,2,FALSE))</f>
        <v/>
      </c>
      <c r="W13" s="359"/>
      <c r="X13" s="359"/>
      <c r="Y13" s="359"/>
      <c r="Z13" s="359"/>
      <c r="AA13" s="372"/>
      <c r="AB13" s="374"/>
      <c r="AC13" s="351"/>
      <c r="AD13" s="351"/>
      <c r="AE13" s="351"/>
      <c r="AF13" s="349"/>
      <c r="AG13" s="349"/>
      <c r="AH13" s="349"/>
      <c r="AI13" s="349"/>
      <c r="AJ13" s="349"/>
      <c r="AK13" s="349"/>
      <c r="AL13" s="373"/>
      <c r="AM13" s="351"/>
      <c r="AN13" s="351"/>
      <c r="AO13" s="351"/>
      <c r="AP13" s="349"/>
      <c r="AQ13" s="349"/>
      <c r="AR13" s="349"/>
      <c r="AS13" s="349"/>
      <c r="AT13" s="349"/>
      <c r="AU13" s="974"/>
      <c r="AV13" s="974"/>
      <c r="AW13" s="974"/>
      <c r="AX13" s="974"/>
      <c r="AY13" s="974"/>
      <c r="BC13" s="120"/>
      <c r="BD13" s="111" t="str">
        <f t="shared" si="2"/>
        <v>B3</v>
      </c>
      <c r="BE13" s="121" t="str">
        <f>'Poules A-B'!$AB$41</f>
        <v>B31</v>
      </c>
      <c r="BF13" s="112">
        <v>30</v>
      </c>
      <c r="BG13" s="112" t="str">
        <f>poB&amp;4</f>
        <v>B4</v>
      </c>
      <c r="BH13" s="112" t="e">
        <f t="shared" si="0"/>
        <v>#N/A</v>
      </c>
      <c r="BI13" s="112" t="e">
        <f t="shared" si="1"/>
        <v>#N/A</v>
      </c>
    </row>
    <row r="14" spans="1:74" ht="18.75" customHeight="1" x14ac:dyDescent="0.25">
      <c r="A14" s="349"/>
      <c r="B14" s="349"/>
      <c r="C14" s="349"/>
      <c r="D14" s="349"/>
      <c r="E14" s="349"/>
      <c r="F14" s="360"/>
      <c r="G14" s="375" t="str">
        <f>IF(F14="","",VLOOKUP(F14,liste!$A$9:$H$145,2,FALSE))</f>
        <v/>
      </c>
      <c r="H14" s="357"/>
      <c r="I14" s="357"/>
      <c r="J14" s="362"/>
      <c r="K14" s="349" t="s">
        <v>100</v>
      </c>
      <c r="L14" s="733" t="str">
        <f>IF(TF="n","","T."&amp;Rens!G29)</f>
        <v/>
      </c>
      <c r="M14" s="349"/>
      <c r="N14" s="734"/>
      <c r="O14" s="363"/>
      <c r="P14" s="354"/>
      <c r="Q14" s="349"/>
      <c r="R14" s="349"/>
      <c r="S14" s="351"/>
      <c r="T14" s="351"/>
      <c r="U14" s="376">
        <v>9</v>
      </c>
      <c r="V14" s="377"/>
      <c r="W14" s="378"/>
      <c r="X14" s="377"/>
      <c r="Y14" s="377"/>
      <c r="Z14" s="379"/>
      <c r="AA14" s="379"/>
      <c r="AB14" s="358"/>
      <c r="AC14" s="351"/>
      <c r="AD14" s="351"/>
      <c r="AE14" s="351"/>
      <c r="AF14" s="349"/>
      <c r="AG14" s="349"/>
      <c r="AH14" s="349"/>
      <c r="AI14" s="349"/>
      <c r="AJ14" s="729" t="str">
        <f>IF(TF="n","","T."&amp;Rens!K29)</f>
        <v/>
      </c>
      <c r="AK14" s="364" t="s">
        <v>36</v>
      </c>
      <c r="AL14" s="371"/>
      <c r="AM14" s="356" t="str">
        <f>IF(AL14="","",VLOOKUP(AL14,liste!$A$9:$H$145,2,FALSE))</f>
        <v/>
      </c>
      <c r="AN14" s="366"/>
      <c r="AO14" s="366"/>
      <c r="AP14" s="366"/>
      <c r="AQ14" s="349"/>
      <c r="AR14" s="349"/>
      <c r="AS14" s="349"/>
      <c r="AT14" s="349"/>
      <c r="AU14" s="975"/>
      <c r="AV14" s="975"/>
      <c r="AW14" s="975"/>
      <c r="AX14" s="975"/>
      <c r="AY14" s="975"/>
      <c r="BC14" s="120">
        <v>3</v>
      </c>
      <c r="BD14" s="111" t="str">
        <f t="shared" si="2"/>
        <v>C3</v>
      </c>
      <c r="BE14" s="121" t="str">
        <f>'Poules C-D'!$AB$9</f>
        <v>C3</v>
      </c>
      <c r="BF14" s="112">
        <v>3</v>
      </c>
      <c r="BG14" s="112" t="str">
        <f>poC&amp;1</f>
        <v>1</v>
      </c>
      <c r="BH14" s="112" t="e">
        <f t="shared" si="0"/>
        <v>#N/A</v>
      </c>
      <c r="BI14" s="112" t="e">
        <f t="shared" si="1"/>
        <v>#N/A</v>
      </c>
    </row>
    <row r="15" spans="1:74" ht="18.75" customHeight="1" x14ac:dyDescent="0.25">
      <c r="A15" s="349"/>
      <c r="B15" s="349"/>
      <c r="C15" s="349"/>
      <c r="D15" s="349"/>
      <c r="E15" s="349"/>
      <c r="F15" s="380"/>
      <c r="G15" s="351"/>
      <c r="H15" s="351"/>
      <c r="I15" s="351"/>
      <c r="J15" s="381"/>
      <c r="K15" s="373"/>
      <c r="L15" s="349"/>
      <c r="M15" s="349"/>
      <c r="N15" s="349"/>
      <c r="O15" s="350"/>
      <c r="P15" s="354"/>
      <c r="Q15" s="349"/>
      <c r="R15" s="349"/>
      <c r="S15" s="349"/>
      <c r="T15" s="349"/>
      <c r="U15" s="355" t="str">
        <f>IF(TF="N","",VALUE(VLOOKUP(U14,TIR,4,FALSE)))</f>
        <v/>
      </c>
      <c r="V15" s="356" t="str">
        <f>IF(U15="","",VLOOKUP(U15,liste!$A$9:$H$145,2,FALSE))</f>
        <v/>
      </c>
      <c r="W15" s="359"/>
      <c r="X15" s="359"/>
      <c r="Y15" s="359"/>
      <c r="Z15" s="359"/>
      <c r="AA15" s="359"/>
      <c r="AB15" s="354"/>
      <c r="AC15" s="349"/>
      <c r="AD15" s="349"/>
      <c r="AE15" s="349"/>
      <c r="AF15" s="349"/>
      <c r="AG15" s="349"/>
      <c r="AH15" s="349"/>
      <c r="AI15" s="349"/>
      <c r="AJ15" s="350"/>
      <c r="AK15" s="382"/>
      <c r="AL15" s="350"/>
      <c r="AM15" s="350"/>
      <c r="AN15" s="350"/>
      <c r="AO15" s="350"/>
      <c r="AP15" s="382"/>
      <c r="AQ15" s="349"/>
      <c r="AR15" s="349"/>
      <c r="AS15" s="349"/>
      <c r="AT15" s="349"/>
      <c r="AU15" s="367"/>
      <c r="AV15" s="367"/>
      <c r="AW15" s="367"/>
      <c r="AX15" s="383"/>
      <c r="AY15" s="351"/>
      <c r="BC15" s="120"/>
      <c r="BD15" s="111" t="str">
        <f t="shared" si="2"/>
        <v>C1</v>
      </c>
      <c r="BE15" s="121" t="str">
        <f>'Poules C-D'!$AB$10</f>
        <v>C14</v>
      </c>
      <c r="BF15" s="112">
        <v>13</v>
      </c>
      <c r="BG15" s="112" t="str">
        <f>poC&amp;2</f>
        <v>2</v>
      </c>
      <c r="BH15" s="112" t="e">
        <f t="shared" si="0"/>
        <v>#N/A</v>
      </c>
      <c r="BI15" s="112" t="e">
        <f t="shared" si="1"/>
        <v>#N/A</v>
      </c>
    </row>
    <row r="16" spans="1:74" ht="18.75" customHeight="1" x14ac:dyDescent="0.25">
      <c r="A16" s="349"/>
      <c r="B16" s="349"/>
      <c r="C16" s="349"/>
      <c r="D16" s="349"/>
      <c r="E16" s="368"/>
      <c r="F16" s="349"/>
      <c r="G16" s="349"/>
      <c r="H16" s="349"/>
      <c r="I16" s="349"/>
      <c r="J16" s="368"/>
      <c r="K16" s="349"/>
      <c r="L16" s="349"/>
      <c r="M16" s="349"/>
      <c r="N16" s="349"/>
      <c r="O16" s="349"/>
      <c r="P16" s="369" t="str">
        <f>IF(AB16="","",IF(AB16=U15,U17,IF(AB16=U17,U15)))</f>
        <v/>
      </c>
      <c r="Q16" s="356" t="str">
        <f>IF(P16="","",VLOOKUP(P16,liste!$A$9:$H$145,2,FALSE))</f>
        <v/>
      </c>
      <c r="R16" s="357"/>
      <c r="S16" s="357"/>
      <c r="T16" s="362"/>
      <c r="U16" s="352">
        <v>24</v>
      </c>
      <c r="V16" s="349"/>
      <c r="W16" s="731"/>
      <c r="X16" s="349"/>
      <c r="Y16" s="349"/>
      <c r="Z16" s="732" t="str">
        <f>IF(TF="n","","T."&amp;Rens!C19)</f>
        <v/>
      </c>
      <c r="AA16" s="349"/>
      <c r="AB16" s="371"/>
      <c r="AC16" s="356" t="str">
        <f>IF(AB16="","",VLOOKUP(AB16,liste!$A$9:$H$145,2,FALSE))</f>
        <v/>
      </c>
      <c r="AD16" s="359"/>
      <c r="AE16" s="359"/>
      <c r="AF16" s="359"/>
      <c r="AG16" s="351"/>
      <c r="AH16" s="351"/>
      <c r="AI16" s="351"/>
      <c r="AJ16" s="349"/>
      <c r="AK16" s="349"/>
      <c r="AL16" s="373"/>
      <c r="AM16" s="351"/>
      <c r="AN16" s="351"/>
      <c r="AO16" s="351"/>
      <c r="AP16" s="368"/>
      <c r="AQ16" s="349"/>
      <c r="AR16" s="349"/>
      <c r="AS16" s="349"/>
      <c r="AT16" s="350"/>
      <c r="AU16" s="350"/>
      <c r="AV16" s="367"/>
      <c r="AW16" s="367"/>
      <c r="AX16" s="367"/>
      <c r="AY16" s="367"/>
      <c r="BC16" s="120"/>
      <c r="BD16" s="111" t="str">
        <f t="shared" si="2"/>
        <v>C1</v>
      </c>
      <c r="BE16" s="121" t="str">
        <f>'Poules C-D'!$AB$11</f>
        <v>C19</v>
      </c>
      <c r="BF16" s="112">
        <v>17</v>
      </c>
      <c r="BG16" s="112" t="str">
        <f>poC&amp;3</f>
        <v>3</v>
      </c>
      <c r="BH16" s="112" t="e">
        <f t="shared" si="0"/>
        <v>#N/A</v>
      </c>
      <c r="BI16" s="112" t="e">
        <f t="shared" si="1"/>
        <v>#N/A</v>
      </c>
    </row>
    <row r="17" spans="1:61" ht="18.75" customHeight="1" x14ac:dyDescent="0.25">
      <c r="A17" s="349"/>
      <c r="B17" s="349"/>
      <c r="C17" s="384"/>
      <c r="D17" s="349"/>
      <c r="E17" s="368"/>
      <c r="F17" s="349"/>
      <c r="G17" s="349"/>
      <c r="H17" s="349"/>
      <c r="I17" s="349"/>
      <c r="J17" s="368"/>
      <c r="K17" s="360"/>
      <c r="L17" s="361" t="str">
        <f>IF(K17="","",VLOOKUP(K17,liste!$A$9:$H$145,2,FALSE))</f>
        <v/>
      </c>
      <c r="M17" s="357"/>
      <c r="N17" s="357"/>
      <c r="O17" s="362"/>
      <c r="P17" s="352">
        <v>25</v>
      </c>
      <c r="Q17" s="349" t="s">
        <v>101</v>
      </c>
      <c r="R17" s="729" t="str">
        <f>IF(TF="n","","T."&amp;Rens!G19)</f>
        <v/>
      </c>
      <c r="S17" s="367"/>
      <c r="T17" s="368"/>
      <c r="U17" s="355" t="str">
        <f>IF(TF="N","",VALUE(VLOOKUP(U16,TIR,4,FALSE)))</f>
        <v/>
      </c>
      <c r="V17" s="356" t="str">
        <f>IF(U17="","",VLOOKUP(U17,liste!$A$9:$H$145,2,FALSE))</f>
        <v/>
      </c>
      <c r="W17" s="359"/>
      <c r="X17" s="359"/>
      <c r="Y17" s="359"/>
      <c r="Z17" s="359"/>
      <c r="AA17" s="359"/>
      <c r="AB17" s="352">
        <v>8</v>
      </c>
      <c r="AC17" s="351"/>
      <c r="AD17" s="351"/>
      <c r="AE17" s="730" t="str">
        <f>IF(TF="n","","T."&amp;Rens!K19)</f>
        <v/>
      </c>
      <c r="AF17" s="364" t="s">
        <v>75</v>
      </c>
      <c r="AG17" s="360"/>
      <c r="AH17" s="356" t="str">
        <f>IF(AG17="","",VLOOKUP(AG17,liste!$A$9:$H$145,2,FALSE))</f>
        <v/>
      </c>
      <c r="AI17" s="365"/>
      <c r="AJ17" s="366"/>
      <c r="AK17" s="366"/>
      <c r="AL17" s="373"/>
      <c r="AM17" s="351"/>
      <c r="AN17" s="351"/>
      <c r="AO17" s="351"/>
      <c r="AP17" s="368"/>
      <c r="AQ17" s="349"/>
      <c r="AR17" s="349"/>
      <c r="AS17" s="349"/>
      <c r="AT17" s="349"/>
      <c r="AU17" s="349"/>
      <c r="AV17" s="349"/>
      <c r="BC17" s="120"/>
      <c r="BD17" s="111" t="str">
        <f t="shared" si="2"/>
        <v>C3</v>
      </c>
      <c r="BE17" s="121" t="str">
        <f>'Poules C-D'!$AB$12</f>
        <v>C30</v>
      </c>
      <c r="BF17" s="112">
        <v>31</v>
      </c>
      <c r="BG17" s="112" t="str">
        <f>poC&amp;4</f>
        <v>4</v>
      </c>
      <c r="BH17" s="112" t="e">
        <f t="shared" si="0"/>
        <v>#N/A</v>
      </c>
      <c r="BI17" s="112" t="e">
        <f t="shared" si="1"/>
        <v>#N/A</v>
      </c>
    </row>
    <row r="18" spans="1:61" ht="18.75" customHeight="1" x14ac:dyDescent="0.25">
      <c r="A18" s="349"/>
      <c r="B18" s="349"/>
      <c r="C18" s="384"/>
      <c r="D18" s="385"/>
      <c r="E18" s="368"/>
      <c r="F18" s="349"/>
      <c r="G18" s="349"/>
      <c r="H18" s="349"/>
      <c r="I18" s="349"/>
      <c r="J18" s="349"/>
      <c r="K18" s="349"/>
      <c r="L18" s="349"/>
      <c r="M18" s="349"/>
      <c r="N18" s="349"/>
      <c r="O18" s="368"/>
      <c r="P18" s="355" t="str">
        <f>IF(TF="N","",VALUE(VLOOKUP(P17,TIR,4,FALSE)))</f>
        <v/>
      </c>
      <c r="Q18" s="356" t="str">
        <f>IF(P18="","",VLOOKUP(P18,liste!$A$9:$H$145,2,FALSE))</f>
        <v/>
      </c>
      <c r="R18" s="357"/>
      <c r="S18" s="357"/>
      <c r="T18" s="357"/>
      <c r="U18" s="358"/>
      <c r="V18" s="358"/>
      <c r="W18" s="358"/>
      <c r="X18" s="358"/>
      <c r="Y18" s="358"/>
      <c r="Z18" s="349"/>
      <c r="AA18" s="349"/>
      <c r="AB18" s="355" t="str">
        <f>IF(TF="N","",VALUE(VLOOKUP(AB17,TIR,4,FALSE)))</f>
        <v/>
      </c>
      <c r="AC18" s="356" t="str">
        <f>IF(AB18="","",VLOOKUP(AB18,liste!$A$9:$H$145,2,FALSE))</f>
        <v/>
      </c>
      <c r="AD18" s="359"/>
      <c r="AE18" s="359"/>
      <c r="AF18" s="372"/>
      <c r="AG18" s="351"/>
      <c r="AH18" s="351"/>
      <c r="AI18" s="351"/>
      <c r="AJ18" s="349"/>
      <c r="AK18" s="349"/>
      <c r="AL18" s="349"/>
      <c r="AM18" s="349"/>
      <c r="AN18" s="349"/>
      <c r="AO18" s="349"/>
      <c r="AP18" s="368"/>
      <c r="AQ18" s="349"/>
      <c r="AR18" s="349"/>
      <c r="AS18" s="349"/>
      <c r="AT18" s="349"/>
      <c r="AU18" s="350"/>
      <c r="AV18" s="349"/>
      <c r="BC18" s="120">
        <v>4</v>
      </c>
      <c r="BD18" s="111" t="str">
        <f t="shared" si="2"/>
        <v>D4</v>
      </c>
      <c r="BE18" s="121" t="str">
        <f>'Poules C-D'!$AB$38</f>
        <v>D4</v>
      </c>
      <c r="BF18" s="112">
        <v>4</v>
      </c>
      <c r="BG18" s="112" t="str">
        <f>poD&amp;1</f>
        <v>1</v>
      </c>
      <c r="BH18" s="112" t="e">
        <f t="shared" si="0"/>
        <v>#N/A</v>
      </c>
      <c r="BI18" s="112" t="e">
        <f t="shared" si="1"/>
        <v>#N/A</v>
      </c>
    </row>
    <row r="19" spans="1:61" ht="18.75" customHeight="1" x14ac:dyDescent="0.25">
      <c r="A19" s="360"/>
      <c r="B19" s="361" t="str">
        <f>IF(A19="","",VLOOKUP(A19,liste!$A$9:$H$145,2,FALSE))</f>
        <v/>
      </c>
      <c r="C19" s="357"/>
      <c r="D19" s="357"/>
      <c r="E19" s="362"/>
      <c r="F19" s="349" t="s">
        <v>102</v>
      </c>
      <c r="G19" s="733" t="str">
        <f>IF(TF="n","","T."&amp;Rens!G41)</f>
        <v/>
      </c>
      <c r="H19" s="349"/>
      <c r="I19" s="731"/>
      <c r="J19" s="349"/>
      <c r="K19" s="349"/>
      <c r="L19" s="349"/>
      <c r="M19" s="349"/>
      <c r="N19" s="349"/>
      <c r="O19" s="351"/>
      <c r="P19" s="352">
        <v>28</v>
      </c>
      <c r="Q19" s="379"/>
      <c r="R19" s="379"/>
      <c r="S19" s="379"/>
      <c r="T19" s="387"/>
      <c r="U19" s="377"/>
      <c r="V19" s="377"/>
      <c r="W19" s="377"/>
      <c r="X19" s="377"/>
      <c r="Y19" s="377"/>
      <c r="Z19" s="379"/>
      <c r="AA19" s="379"/>
      <c r="AB19" s="376">
        <v>5</v>
      </c>
      <c r="AC19" s="378"/>
      <c r="AD19" s="379"/>
      <c r="AE19" s="379"/>
      <c r="AF19" s="379"/>
      <c r="AG19" s="351"/>
      <c r="AH19" s="351"/>
      <c r="AI19" s="351"/>
      <c r="AJ19" s="349"/>
      <c r="AK19" s="349"/>
      <c r="AL19" s="349"/>
      <c r="AM19" s="349"/>
      <c r="AN19" s="349"/>
      <c r="AO19" s="729" t="str">
        <f>IF(TF="n","","T."&amp;Rens!K41)</f>
        <v/>
      </c>
      <c r="AP19" s="364" t="s">
        <v>33</v>
      </c>
      <c r="AQ19" s="360"/>
      <c r="AR19" s="356" t="str">
        <f>IF(AQ19="","",VLOOKUP(AQ19,liste!$A$9:$H$145,2,FALSE))</f>
        <v/>
      </c>
      <c r="AS19" s="388"/>
      <c r="AT19" s="388"/>
      <c r="AU19" s="389"/>
      <c r="AV19" s="349"/>
      <c r="BC19" s="120"/>
      <c r="BD19" s="111" t="str">
        <f t="shared" si="2"/>
        <v>D1</v>
      </c>
      <c r="BE19" s="121" t="str">
        <f>'Poules C-D'!$AB$39</f>
        <v>D13</v>
      </c>
      <c r="BF19" s="112">
        <v>14</v>
      </c>
      <c r="BG19" s="112" t="str">
        <f>poD&amp;2</f>
        <v>2</v>
      </c>
      <c r="BH19" s="112" t="e">
        <f t="shared" si="0"/>
        <v>#N/A</v>
      </c>
      <c r="BI19" s="112" t="e">
        <f t="shared" si="1"/>
        <v>#N/A</v>
      </c>
    </row>
    <row r="20" spans="1:61" ht="18.75" customHeight="1" x14ac:dyDescent="0.25">
      <c r="A20" s="390"/>
      <c r="B20" s="350"/>
      <c r="C20" s="350"/>
      <c r="D20" s="350"/>
      <c r="E20" s="350"/>
      <c r="F20" s="380"/>
      <c r="G20" s="350"/>
      <c r="H20" s="350"/>
      <c r="I20" s="350"/>
      <c r="J20" s="349"/>
      <c r="K20" s="349"/>
      <c r="L20" s="349"/>
      <c r="M20" s="349"/>
      <c r="N20" s="349"/>
      <c r="O20" s="349"/>
      <c r="P20" s="355" t="str">
        <f>IF(TF="N","",VALUE(VLOOKUP(P19,TIR,4,FALSE)))</f>
        <v/>
      </c>
      <c r="Q20" s="356" t="str">
        <f>IF(P20="","",VLOOKUP(P20,liste!$A$9:$H$145,2,FALSE))</f>
        <v/>
      </c>
      <c r="R20" s="357"/>
      <c r="S20" s="357"/>
      <c r="T20" s="357"/>
      <c r="U20" s="352">
        <v>21</v>
      </c>
      <c r="V20" s="358"/>
      <c r="W20" s="358"/>
      <c r="X20" s="358"/>
      <c r="Y20" s="358"/>
      <c r="Z20" s="349"/>
      <c r="AA20" s="349"/>
      <c r="AB20" s="355" t="str">
        <f>IF(TF="N","",VALUE(VLOOKUP(AB19,TIR,4,FALSE)))</f>
        <v/>
      </c>
      <c r="AC20" s="356" t="str">
        <f>IF(AB20="","",VLOOKUP(AB20,liste!$A$9:$H$145,2,FALSE))</f>
        <v/>
      </c>
      <c r="AD20" s="359"/>
      <c r="AE20" s="359"/>
      <c r="AF20" s="359"/>
      <c r="AG20" s="351"/>
      <c r="AH20" s="351"/>
      <c r="AI20" s="351"/>
      <c r="AJ20" s="349"/>
      <c r="AK20" s="349"/>
      <c r="AL20" s="349"/>
      <c r="AM20" s="349"/>
      <c r="AN20" s="349"/>
      <c r="AO20" s="350"/>
      <c r="AP20" s="382"/>
      <c r="AQ20" s="350"/>
      <c r="AR20" s="350"/>
      <c r="AS20" s="350"/>
      <c r="AT20" s="350"/>
      <c r="AU20" s="391"/>
      <c r="AV20" s="349"/>
      <c r="BC20" s="120"/>
      <c r="BD20" s="111" t="str">
        <f t="shared" si="2"/>
        <v>D2</v>
      </c>
      <c r="BE20" s="121" t="str">
        <f>'Poules C-D'!$AB$40</f>
        <v>D20</v>
      </c>
      <c r="BF20" s="112">
        <v>18</v>
      </c>
      <c r="BG20" s="112" t="str">
        <f>poD&amp;3</f>
        <v>3</v>
      </c>
      <c r="BH20" s="112" t="e">
        <f t="shared" si="0"/>
        <v>#N/A</v>
      </c>
      <c r="BI20" s="112" t="e">
        <f t="shared" si="1"/>
        <v>#N/A</v>
      </c>
    </row>
    <row r="21" spans="1:61" ht="18.75" customHeight="1" x14ac:dyDescent="0.25">
      <c r="A21" s="373"/>
      <c r="B21" s="351"/>
      <c r="C21" s="349"/>
      <c r="D21" s="349"/>
      <c r="E21" s="368"/>
      <c r="F21" s="349"/>
      <c r="G21" s="349"/>
      <c r="H21" s="349"/>
      <c r="I21" s="349"/>
      <c r="J21" s="349"/>
      <c r="K21" s="392"/>
      <c r="L21" s="361" t="str">
        <f>IF(K21="","",VLOOKUP(K21,liste!$A$9:$H$145,2,FALSE))</f>
        <v/>
      </c>
      <c r="M21" s="357"/>
      <c r="N21" s="357"/>
      <c r="O21" s="362"/>
      <c r="P21" s="354"/>
      <c r="Q21" s="393" t="s">
        <v>103</v>
      </c>
      <c r="R21" s="729" t="str">
        <f>IF(TF="n","","T."&amp;Rens!G20)</f>
        <v/>
      </c>
      <c r="S21" s="363"/>
      <c r="T21" s="349"/>
      <c r="U21" s="355" t="str">
        <f>IF(TF="N","",VALUE(VLOOKUP(U20,TIR,4,FALSE)))</f>
        <v/>
      </c>
      <c r="V21" s="356" t="str">
        <f>IF(U21="","",VLOOKUP(U21,liste!$A$9:$H$145,2,FALSE))</f>
        <v/>
      </c>
      <c r="W21" s="359"/>
      <c r="X21" s="359"/>
      <c r="Y21" s="359"/>
      <c r="Z21" s="359"/>
      <c r="AA21" s="359"/>
      <c r="AB21" s="354"/>
      <c r="AC21" s="349"/>
      <c r="AD21" s="349"/>
      <c r="AE21" s="730" t="str">
        <f>IF(TF="n","","T."&amp;Rens!K20)</f>
        <v/>
      </c>
      <c r="AF21" s="364" t="s">
        <v>76</v>
      </c>
      <c r="AG21" s="360"/>
      <c r="AH21" s="356" t="str">
        <f>IF(AG21="","",VLOOKUP(AG21,liste!$A$9:$H$145,2,FALSE))</f>
        <v/>
      </c>
      <c r="AI21" s="365"/>
      <c r="AJ21" s="366"/>
      <c r="AK21" s="366"/>
      <c r="AL21" s="349"/>
      <c r="AM21" s="349"/>
      <c r="AN21" s="349"/>
      <c r="AO21" s="349"/>
      <c r="AP21" s="368"/>
      <c r="AQ21" s="351"/>
      <c r="AR21" s="351"/>
      <c r="AS21" s="351"/>
      <c r="AT21" s="351"/>
      <c r="AU21" s="382"/>
      <c r="AV21" s="349"/>
      <c r="BC21" s="120"/>
      <c r="BD21" s="111" t="str">
        <f t="shared" si="2"/>
        <v>D2</v>
      </c>
      <c r="BE21" s="121" t="str">
        <f>'Poules C-D'!$AB$41</f>
        <v>D29</v>
      </c>
      <c r="BF21" s="112">
        <v>32</v>
      </c>
      <c r="BG21" s="112" t="str">
        <f>poD&amp;4</f>
        <v>4</v>
      </c>
      <c r="BH21" s="112" t="e">
        <f t="shared" si="0"/>
        <v>#N/A</v>
      </c>
      <c r="BI21" s="112" t="e">
        <f t="shared" si="1"/>
        <v>#N/A</v>
      </c>
    </row>
    <row r="22" spans="1:61" ht="18.75" customHeight="1" x14ac:dyDescent="0.25">
      <c r="A22" s="373"/>
      <c r="B22" s="351"/>
      <c r="C22" s="349"/>
      <c r="D22" s="349"/>
      <c r="E22" s="368"/>
      <c r="F22" s="349"/>
      <c r="G22" s="349"/>
      <c r="H22" s="349"/>
      <c r="I22" s="349"/>
      <c r="J22" s="368"/>
      <c r="K22" s="349"/>
      <c r="L22" s="349"/>
      <c r="M22" s="349"/>
      <c r="N22" s="349"/>
      <c r="O22" s="368"/>
      <c r="P22" s="369" t="str">
        <f>IF(AB22="","",IF(AB22=U21,U23,IF(AB22=U23,U21)))</f>
        <v/>
      </c>
      <c r="Q22" s="356" t="str">
        <f>IF(P22="","",VLOOKUP(P22,liste!$A$9:$H$145,2,FALSE))</f>
        <v/>
      </c>
      <c r="R22" s="357"/>
      <c r="S22" s="357"/>
      <c r="T22" s="362"/>
      <c r="U22" s="352">
        <v>12</v>
      </c>
      <c r="V22" s="349"/>
      <c r="W22" s="731"/>
      <c r="X22" s="349"/>
      <c r="Y22" s="349"/>
      <c r="Z22" s="732" t="str">
        <f>IF(TF="n","","T."&amp;Rens!C20)</f>
        <v/>
      </c>
      <c r="AA22" s="368"/>
      <c r="AB22" s="360"/>
      <c r="AC22" s="356" t="str">
        <f>IF(AB22="","",VLOOKUP(AB22,liste!$A$9:$H$145,2,FALSE))</f>
        <v/>
      </c>
      <c r="AD22" s="359"/>
      <c r="AE22" s="359"/>
      <c r="AF22" s="372"/>
      <c r="AG22" s="351"/>
      <c r="AH22" s="351"/>
      <c r="AI22" s="351"/>
      <c r="AJ22" s="349"/>
      <c r="AK22" s="349"/>
      <c r="AL22" s="373"/>
      <c r="AM22" s="351"/>
      <c r="AN22" s="351"/>
      <c r="AO22" s="351"/>
      <c r="AP22" s="368"/>
      <c r="AQ22" s="351"/>
      <c r="AR22" s="351"/>
      <c r="AS22" s="351"/>
      <c r="AT22" s="351"/>
      <c r="AU22" s="368"/>
      <c r="AV22" s="349"/>
      <c r="BC22" s="120">
        <v>5</v>
      </c>
      <c r="BD22" s="111" t="str">
        <f t="shared" si="2"/>
        <v>E5</v>
      </c>
      <c r="BE22" s="121" t="str">
        <f>'Poules E-F'!$AB$9</f>
        <v>E5</v>
      </c>
      <c r="BF22" s="112">
        <v>5</v>
      </c>
      <c r="BG22" s="112" t="str">
        <f>poE&amp;1</f>
        <v>1</v>
      </c>
      <c r="BH22" s="112" t="e">
        <f t="shared" si="0"/>
        <v>#N/A</v>
      </c>
      <c r="BI22" s="112" t="e">
        <f t="shared" si="1"/>
        <v>#N/A</v>
      </c>
    </row>
    <row r="23" spans="1:61" ht="18.75" customHeight="1" x14ac:dyDescent="0.25">
      <c r="A23" s="373"/>
      <c r="B23" s="351"/>
      <c r="C23" s="349"/>
      <c r="D23" s="349"/>
      <c r="E23" s="368"/>
      <c r="F23" s="349"/>
      <c r="G23" s="349"/>
      <c r="H23" s="349"/>
      <c r="I23" s="349"/>
      <c r="J23" s="368"/>
      <c r="K23" s="349"/>
      <c r="L23" s="349"/>
      <c r="M23" s="349"/>
      <c r="N23" s="349"/>
      <c r="O23" s="349"/>
      <c r="P23" s="354"/>
      <c r="Q23" s="349"/>
      <c r="R23" s="349"/>
      <c r="S23" s="351"/>
      <c r="T23" s="368"/>
      <c r="U23" s="355" t="str">
        <f>IF(TF="N","",VALUE(VLOOKUP(U22,TIR,4,FALSE)))</f>
        <v/>
      </c>
      <c r="V23" s="356" t="str">
        <f>IF(U23="","",VLOOKUP(U23,liste!$A$9:$H$145,2,FALSE))</f>
        <v/>
      </c>
      <c r="W23" s="359"/>
      <c r="X23" s="359"/>
      <c r="Y23" s="359"/>
      <c r="Z23" s="359"/>
      <c r="AA23" s="362"/>
      <c r="AB23" s="354"/>
      <c r="AC23" s="349"/>
      <c r="AD23" s="349"/>
      <c r="AE23" s="349"/>
      <c r="AF23" s="349"/>
      <c r="AG23" s="349"/>
      <c r="AH23" s="349"/>
      <c r="AI23" s="349"/>
      <c r="AJ23" s="349"/>
      <c r="AK23" s="349"/>
      <c r="AL23" s="373"/>
      <c r="AM23" s="351"/>
      <c r="AN23" s="351"/>
      <c r="AO23" s="351"/>
      <c r="AP23" s="368"/>
      <c r="AQ23" s="351"/>
      <c r="AR23" s="351"/>
      <c r="AS23" s="351"/>
      <c r="AT23" s="351"/>
      <c r="AU23" s="368"/>
      <c r="AV23" s="349"/>
      <c r="BC23" s="120"/>
      <c r="BD23" s="111" t="str">
        <f t="shared" si="2"/>
        <v>E1</v>
      </c>
      <c r="BE23" s="121" t="str">
        <f>'Poules E-F'!$AB$10</f>
        <v>E12</v>
      </c>
      <c r="BF23" s="112">
        <v>11</v>
      </c>
      <c r="BG23" s="112" t="str">
        <f>poE&amp;2</f>
        <v>2</v>
      </c>
      <c r="BH23" s="112" t="e">
        <f t="shared" si="0"/>
        <v>#N/A</v>
      </c>
      <c r="BI23" s="112" t="e">
        <f t="shared" si="1"/>
        <v>#N/A</v>
      </c>
    </row>
    <row r="24" spans="1:61" ht="18.75" customHeight="1" x14ac:dyDescent="0.25">
      <c r="A24" s="373"/>
      <c r="B24" s="351"/>
      <c r="C24" s="349"/>
      <c r="D24" s="349"/>
      <c r="E24" s="368"/>
      <c r="F24" s="360"/>
      <c r="G24" s="361" t="str">
        <f>IF(F24="","",VLOOKUP(F24,liste!$A$9:$H$145,2,FALSE))</f>
        <v/>
      </c>
      <c r="H24" s="357"/>
      <c r="I24" s="357"/>
      <c r="J24" s="362"/>
      <c r="K24" s="349" t="s">
        <v>104</v>
      </c>
      <c r="L24" s="733" t="str">
        <f>IF(TF="n","","T."&amp;Rens!G30)</f>
        <v/>
      </c>
      <c r="M24" s="349"/>
      <c r="N24" s="734"/>
      <c r="O24" s="363"/>
      <c r="P24" s="354"/>
      <c r="Q24" s="349"/>
      <c r="R24" s="349"/>
      <c r="S24" s="351"/>
      <c r="T24" s="351"/>
      <c r="U24" s="376">
        <v>13</v>
      </c>
      <c r="V24" s="377"/>
      <c r="W24" s="378"/>
      <c r="X24" s="377"/>
      <c r="Y24" s="377"/>
      <c r="Z24" s="379"/>
      <c r="AA24" s="379"/>
      <c r="AB24" s="354"/>
      <c r="AC24" s="349"/>
      <c r="AD24" s="349"/>
      <c r="AE24" s="349"/>
      <c r="AF24" s="349"/>
      <c r="AG24" s="349"/>
      <c r="AH24" s="349"/>
      <c r="AI24" s="349"/>
      <c r="AJ24" s="729" t="str">
        <f>IF(TF="n","","T."&amp;Rens!K30)</f>
        <v/>
      </c>
      <c r="AK24" s="394" t="s">
        <v>61</v>
      </c>
      <c r="AL24" s="371"/>
      <c r="AM24" s="356" t="str">
        <f>IF(AL24="","",VLOOKUP(AL24,liste!$A$9:$H$145,2,FALSE))</f>
        <v/>
      </c>
      <c r="AN24" s="366"/>
      <c r="AO24" s="366"/>
      <c r="AP24" s="395"/>
      <c r="AQ24" s="351"/>
      <c r="AR24" s="351"/>
      <c r="AS24" s="351"/>
      <c r="AT24" s="351"/>
      <c r="AU24" s="368"/>
      <c r="AV24" s="349"/>
      <c r="BC24" s="120"/>
      <c r="BD24" s="111" t="str">
        <f t="shared" si="2"/>
        <v>E2</v>
      </c>
      <c r="BE24" s="121" t="str">
        <f>'Poules E-F'!$AB$11</f>
        <v>E21</v>
      </c>
      <c r="BF24" s="112">
        <v>23</v>
      </c>
      <c r="BG24" s="112" t="str">
        <f>poE&amp;3</f>
        <v>3</v>
      </c>
      <c r="BH24" s="112" t="e">
        <f t="shared" si="0"/>
        <v>#N/A</v>
      </c>
      <c r="BI24" s="112" t="e">
        <f t="shared" si="1"/>
        <v>#N/A</v>
      </c>
    </row>
    <row r="25" spans="1:61" ht="18.75" customHeight="1" x14ac:dyDescent="0.25">
      <c r="A25" s="373"/>
      <c r="B25" s="351"/>
      <c r="C25" s="349"/>
      <c r="D25" s="349"/>
      <c r="E25" s="351"/>
      <c r="F25" s="389"/>
      <c r="G25" s="350"/>
      <c r="H25" s="350"/>
      <c r="I25" s="350"/>
      <c r="J25" s="350"/>
      <c r="K25" s="380"/>
      <c r="L25" s="349"/>
      <c r="M25" s="349"/>
      <c r="N25" s="349"/>
      <c r="O25" s="350"/>
      <c r="P25" s="354"/>
      <c r="Q25" s="349"/>
      <c r="R25" s="349"/>
      <c r="S25" s="349"/>
      <c r="T25" s="349"/>
      <c r="U25" s="355" t="str">
        <f>IF(TF="N","",VALUE(VLOOKUP(U24,TIR,4,FALSE)))</f>
        <v/>
      </c>
      <c r="V25" s="356" t="str">
        <f>IF(U25="","",VLOOKUP(U25,liste!$A$9:$H$145,2,FALSE))</f>
        <v/>
      </c>
      <c r="W25" s="359"/>
      <c r="X25" s="359"/>
      <c r="Y25" s="359"/>
      <c r="Z25" s="359"/>
      <c r="AA25" s="359"/>
      <c r="AB25" s="354"/>
      <c r="AC25" s="349"/>
      <c r="AD25" s="349"/>
      <c r="AE25" s="349"/>
      <c r="AF25" s="349"/>
      <c r="AG25" s="349"/>
      <c r="AH25" s="349"/>
      <c r="AI25" s="349"/>
      <c r="AJ25" s="350"/>
      <c r="AK25" s="382"/>
      <c r="AL25" s="350"/>
      <c r="AM25" s="350"/>
      <c r="AN25" s="350"/>
      <c r="AO25" s="350"/>
      <c r="AP25" s="350"/>
      <c r="AQ25" s="351"/>
      <c r="AR25" s="351"/>
      <c r="AS25" s="351"/>
      <c r="AT25" s="351"/>
      <c r="AU25" s="368"/>
      <c r="AV25" s="349"/>
      <c r="BC25" s="120"/>
      <c r="BD25" s="111" t="str">
        <f t="shared" si="2"/>
        <v>E2</v>
      </c>
      <c r="BE25" s="121" t="str">
        <f>'Poules E-F'!$AB$12</f>
        <v>E28</v>
      </c>
      <c r="BF25" s="112">
        <v>25</v>
      </c>
      <c r="BG25" s="112" t="str">
        <f>poE&amp;4</f>
        <v>4</v>
      </c>
      <c r="BH25" s="112" t="e">
        <f t="shared" si="0"/>
        <v>#N/A</v>
      </c>
      <c r="BI25" s="112" t="e">
        <f t="shared" si="1"/>
        <v>#N/A</v>
      </c>
    </row>
    <row r="26" spans="1:61" ht="18.75" customHeight="1" x14ac:dyDescent="0.25">
      <c r="A26" s="373"/>
      <c r="B26" s="351"/>
      <c r="C26" s="349"/>
      <c r="D26" s="349"/>
      <c r="E26" s="349"/>
      <c r="F26" s="349"/>
      <c r="G26" s="349"/>
      <c r="H26" s="349"/>
      <c r="I26" s="349"/>
      <c r="J26" s="368"/>
      <c r="K26" s="349"/>
      <c r="L26" s="349"/>
      <c r="M26" s="349"/>
      <c r="N26" s="349"/>
      <c r="O26" s="349"/>
      <c r="P26" s="369" t="str">
        <f>IF(AB26="","",IF(AB26=U25,U27,IF(AB26=U27,U25)))</f>
        <v/>
      </c>
      <c r="Q26" s="356" t="str">
        <f>IF(P26="","",VLOOKUP(P26,liste!$A$9:$H$145,2,FALSE))</f>
        <v/>
      </c>
      <c r="R26" s="357"/>
      <c r="S26" s="357"/>
      <c r="T26" s="362"/>
      <c r="U26" s="352">
        <v>20</v>
      </c>
      <c r="V26" s="349"/>
      <c r="W26" s="731"/>
      <c r="X26" s="349"/>
      <c r="Y26" s="349"/>
      <c r="Z26" s="732" t="str">
        <f>IF(TF="n","","T."&amp;Rens!C21)</f>
        <v/>
      </c>
      <c r="AA26" s="368"/>
      <c r="AB26" s="371"/>
      <c r="AC26" s="356" t="str">
        <f>IF(AB26="","",VLOOKUP(AB26,liste!$A$9:$H$145,2,FALSE))</f>
        <v/>
      </c>
      <c r="AD26" s="359"/>
      <c r="AE26" s="359"/>
      <c r="AF26" s="359"/>
      <c r="AG26" s="351"/>
      <c r="AH26" s="351"/>
      <c r="AI26" s="351"/>
      <c r="AJ26" s="349"/>
      <c r="AK26" s="349"/>
      <c r="AL26" s="373"/>
      <c r="AM26" s="351"/>
      <c r="AN26" s="351"/>
      <c r="AO26" s="351"/>
      <c r="AP26" s="349"/>
      <c r="AQ26" s="351"/>
      <c r="AR26" s="351"/>
      <c r="AS26" s="351"/>
      <c r="AT26" s="351"/>
      <c r="AU26" s="368"/>
      <c r="AV26" s="349"/>
      <c r="BC26" s="120">
        <v>6</v>
      </c>
      <c r="BD26" s="111" t="str">
        <f t="shared" si="2"/>
        <v>F6</v>
      </c>
      <c r="BE26" s="121" t="str">
        <f>'Poules E-F'!$AB$38</f>
        <v>F6</v>
      </c>
      <c r="BF26" s="112">
        <v>6</v>
      </c>
      <c r="BG26" s="112" t="str">
        <f>poF&amp;1</f>
        <v>1</v>
      </c>
      <c r="BH26" s="112" t="e">
        <f t="shared" si="0"/>
        <v>#N/A</v>
      </c>
      <c r="BI26" s="112" t="e">
        <f t="shared" si="1"/>
        <v>#N/A</v>
      </c>
    </row>
    <row r="27" spans="1:61" ht="18.75" customHeight="1" x14ac:dyDescent="0.25">
      <c r="A27" s="373"/>
      <c r="B27" s="351"/>
      <c r="C27" s="349"/>
      <c r="D27" s="349"/>
      <c r="E27" s="349"/>
      <c r="F27" s="349"/>
      <c r="G27" s="349"/>
      <c r="H27" s="349"/>
      <c r="I27" s="349"/>
      <c r="J27" s="368"/>
      <c r="K27" s="392"/>
      <c r="L27" s="361" t="str">
        <f>IF(K27="","",VLOOKUP(K27,liste!$A$9:$H$145,2,FALSE))</f>
        <v/>
      </c>
      <c r="M27" s="357"/>
      <c r="N27" s="357"/>
      <c r="O27" s="362"/>
      <c r="P27" s="352">
        <v>29</v>
      </c>
      <c r="Q27" s="393" t="s">
        <v>105</v>
      </c>
      <c r="R27" s="729" t="str">
        <f>IF(TF="n","","T."&amp;Rens!G21)</f>
        <v/>
      </c>
      <c r="S27" s="367"/>
      <c r="T27" s="368"/>
      <c r="U27" s="355" t="str">
        <f>IF(TF="N","",VALUE(VLOOKUP(U26,TIR,4,FALSE)))</f>
        <v/>
      </c>
      <c r="V27" s="356" t="str">
        <f>IF(U27="","",VLOOKUP(U27,liste!$A$9:$H$145,2,FALSE))</f>
        <v/>
      </c>
      <c r="W27" s="359"/>
      <c r="X27" s="359"/>
      <c r="Y27" s="359"/>
      <c r="Z27" s="359"/>
      <c r="AA27" s="372"/>
      <c r="AB27" s="352">
        <v>4</v>
      </c>
      <c r="AC27" s="349"/>
      <c r="AD27" s="349"/>
      <c r="AE27" s="730" t="str">
        <f>IF(TF="n","","T."&amp;Rens!K21)</f>
        <v/>
      </c>
      <c r="AF27" s="364" t="s">
        <v>77</v>
      </c>
      <c r="AG27" s="360"/>
      <c r="AH27" s="356" t="str">
        <f>IF(AG27="","",VLOOKUP(AG27,liste!$A$9:$H$145,2,FALSE))</f>
        <v/>
      </c>
      <c r="AI27" s="365"/>
      <c r="AJ27" s="366"/>
      <c r="AK27" s="366"/>
      <c r="AL27" s="373"/>
      <c r="AM27" s="351"/>
      <c r="AN27" s="351"/>
      <c r="AO27" s="351"/>
      <c r="AP27" s="349"/>
      <c r="AQ27" s="351"/>
      <c r="AR27" s="351"/>
      <c r="AS27" s="351"/>
      <c r="AT27" s="351"/>
      <c r="AU27" s="368"/>
      <c r="AV27" s="349"/>
      <c r="BC27" s="120"/>
      <c r="BD27" s="111" t="str">
        <f t="shared" si="2"/>
        <v>F9</v>
      </c>
      <c r="BE27" s="121" t="str">
        <f>'Poules E-F'!$AB$39</f>
        <v>F9</v>
      </c>
      <c r="BF27" s="112">
        <v>12</v>
      </c>
      <c r="BG27" s="112" t="str">
        <f>poF&amp;2</f>
        <v>2</v>
      </c>
      <c r="BH27" s="112" t="e">
        <f t="shared" si="0"/>
        <v>#N/A</v>
      </c>
      <c r="BI27" s="112" t="e">
        <f t="shared" si="1"/>
        <v>#N/A</v>
      </c>
    </row>
    <row r="28" spans="1:61" ht="18.75" customHeight="1" x14ac:dyDescent="0.25">
      <c r="A28" s="373"/>
      <c r="B28" s="351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68"/>
      <c r="P28" s="355" t="str">
        <f>IF(TF="N","",VALUE(VLOOKUP(P27,TIR,4,FALSE)))</f>
        <v/>
      </c>
      <c r="Q28" s="356" t="str">
        <f>IF(P28="","",VLOOKUP(P28,liste!$A$9:$H$145,2,FALSE))</f>
        <v/>
      </c>
      <c r="R28" s="357"/>
      <c r="S28" s="357"/>
      <c r="T28" s="357"/>
      <c r="U28" s="358"/>
      <c r="V28" s="358"/>
      <c r="W28" s="358"/>
      <c r="X28" s="358"/>
      <c r="Y28" s="358"/>
      <c r="Z28" s="349"/>
      <c r="AA28" s="349"/>
      <c r="AB28" s="355" t="str">
        <f>IF(TF="N","",VALUE(VLOOKUP(AB27,TIR,4,FALSE)))</f>
        <v/>
      </c>
      <c r="AC28" s="356" t="str">
        <f>IF(AB28="","",VLOOKUP(AB28,liste!$A$9:$H$145,2,FALSE))</f>
        <v/>
      </c>
      <c r="AD28" s="359"/>
      <c r="AE28" s="359"/>
      <c r="AF28" s="372"/>
      <c r="AG28" s="351"/>
      <c r="AH28" s="351"/>
      <c r="AI28" s="351"/>
      <c r="AJ28" s="349"/>
      <c r="AK28" s="349"/>
      <c r="AL28" s="349"/>
      <c r="AM28" s="349"/>
      <c r="AN28" s="349"/>
      <c r="AO28" s="349"/>
      <c r="AP28" s="349"/>
      <c r="AQ28" s="351"/>
      <c r="AR28" s="351"/>
      <c r="AS28" s="351"/>
      <c r="AT28" s="351"/>
      <c r="AU28" s="368"/>
      <c r="AV28" s="349"/>
      <c r="BC28" s="120"/>
      <c r="BD28" s="111" t="str">
        <f t="shared" si="2"/>
        <v>F2</v>
      </c>
      <c r="BE28" s="121" t="str">
        <f>'Poules E-F'!$AB$40</f>
        <v>F22</v>
      </c>
      <c r="BF28" s="112">
        <v>24</v>
      </c>
      <c r="BG28" s="112" t="str">
        <f>poF&amp;3</f>
        <v>3</v>
      </c>
      <c r="BH28" s="112" t="e">
        <f t="shared" si="0"/>
        <v>#N/A</v>
      </c>
      <c r="BI28" s="112" t="e">
        <f t="shared" si="1"/>
        <v>#N/A</v>
      </c>
    </row>
    <row r="29" spans="1:61" ht="18.75" customHeight="1" x14ac:dyDescent="0.25">
      <c r="A29" s="371"/>
      <c r="B29" s="361" t="str">
        <f>IF(A29="","",VLOOKUP(A29,liste!$A$9:$H$145,2,FALSE))</f>
        <v/>
      </c>
      <c r="C29" s="357"/>
      <c r="D29" s="357"/>
      <c r="E29" s="357"/>
      <c r="F29" s="357"/>
      <c r="G29" s="381"/>
      <c r="H29" s="381"/>
      <c r="I29" s="349"/>
      <c r="J29" s="349"/>
      <c r="K29" s="349"/>
      <c r="L29" s="349"/>
      <c r="M29" s="349"/>
      <c r="N29" s="349"/>
      <c r="O29" s="349"/>
      <c r="P29" s="352">
        <v>30</v>
      </c>
      <c r="Q29" s="349"/>
      <c r="R29" s="349"/>
      <c r="S29" s="349"/>
      <c r="T29" s="349"/>
      <c r="U29" s="354"/>
      <c r="V29" s="349"/>
      <c r="W29" s="349"/>
      <c r="X29" s="349"/>
      <c r="Y29" s="349"/>
      <c r="Z29" s="349"/>
      <c r="AA29" s="349"/>
      <c r="AB29" s="352">
        <v>3</v>
      </c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60"/>
      <c r="AQ29" s="356" t="str">
        <f>IF(AP29="","",VLOOKUP(AP29,liste!$A$9:$H$145,2,FALSE))</f>
        <v/>
      </c>
      <c r="AR29" s="366"/>
      <c r="AS29" s="366"/>
      <c r="AT29" s="366"/>
      <c r="AU29" s="395"/>
      <c r="AV29" s="349"/>
      <c r="BC29" s="120"/>
      <c r="BD29" s="111" t="str">
        <f t="shared" si="2"/>
        <v>F2</v>
      </c>
      <c r="BE29" s="121" t="str">
        <f>'Poules E-F'!$AB$41</f>
        <v>F27</v>
      </c>
      <c r="BF29" s="112">
        <v>26</v>
      </c>
      <c r="BG29" s="112" t="str">
        <f>poF&amp;4</f>
        <v>4</v>
      </c>
      <c r="BH29" s="112" t="e">
        <f t="shared" si="0"/>
        <v>#N/A</v>
      </c>
      <c r="BI29" s="112" t="e">
        <f t="shared" si="1"/>
        <v>#N/A</v>
      </c>
    </row>
    <row r="30" spans="1:61" ht="18.75" customHeight="1" x14ac:dyDescent="0.25">
      <c r="A30" s="373"/>
      <c r="B30" s="351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55" t="str">
        <f>IF(TF="N","",VALUE(VLOOKUP(P29,TIR,4,FALSE)))</f>
        <v/>
      </c>
      <c r="Q30" s="356" t="str">
        <f>IF(P30="","",VLOOKUP(P30,liste!$A$9:$H$145,2,FALSE))</f>
        <v/>
      </c>
      <c r="R30" s="357"/>
      <c r="S30" s="357"/>
      <c r="T30" s="357"/>
      <c r="U30" s="352">
        <v>19</v>
      </c>
      <c r="V30" s="358"/>
      <c r="W30" s="358"/>
      <c r="X30" s="358"/>
      <c r="Y30" s="358"/>
      <c r="Z30" s="349"/>
      <c r="AA30" s="349"/>
      <c r="AB30" s="355" t="str">
        <f>IF(TF="N","",VALUE(VLOOKUP(AB29,TIR,4,FALSE)))</f>
        <v/>
      </c>
      <c r="AC30" s="356" t="str">
        <f>IF(AB30="","",VLOOKUP(AB30,liste!$A$9:$H$145,2,FALSE))</f>
        <v/>
      </c>
      <c r="AD30" s="359"/>
      <c r="AE30" s="359"/>
      <c r="AF30" s="359"/>
      <c r="AG30" s="351"/>
      <c r="AH30" s="351"/>
      <c r="AI30" s="351"/>
      <c r="AJ30" s="349"/>
      <c r="AK30" s="349"/>
      <c r="AL30" s="349"/>
      <c r="AM30" s="349"/>
      <c r="AN30" s="349"/>
      <c r="AO30" s="349"/>
      <c r="AP30" s="349"/>
      <c r="AQ30" s="396"/>
      <c r="AR30" s="397"/>
      <c r="AS30" s="351"/>
      <c r="AT30" s="351"/>
      <c r="AU30" s="368"/>
      <c r="AV30" s="349"/>
      <c r="BC30" s="120">
        <v>7</v>
      </c>
      <c r="BD30" s="111" t="str">
        <f t="shared" si="2"/>
        <v>G7</v>
      </c>
      <c r="BE30" s="121" t="str">
        <f>'Poules G-H'!$AB$9</f>
        <v>G7</v>
      </c>
      <c r="BF30" s="112">
        <v>7</v>
      </c>
      <c r="BG30" s="112" t="str">
        <f>poG&amp;1</f>
        <v>1</v>
      </c>
      <c r="BH30" s="112" t="e">
        <f t="shared" si="0"/>
        <v>#N/A</v>
      </c>
      <c r="BI30" s="112" t="e">
        <f t="shared" si="1"/>
        <v>#N/A</v>
      </c>
    </row>
    <row r="31" spans="1:61" ht="18.75" customHeight="1" x14ac:dyDescent="0.25">
      <c r="A31" s="735" t="str">
        <f>IF(TF="n","","T."&amp;Rens!G55)</f>
        <v/>
      </c>
      <c r="B31" s="351"/>
      <c r="C31" s="736"/>
      <c r="D31" s="398"/>
      <c r="E31" s="349"/>
      <c r="F31" s="349"/>
      <c r="G31" s="349"/>
      <c r="H31" s="349"/>
      <c r="I31" s="349"/>
      <c r="J31" s="349"/>
      <c r="K31" s="392"/>
      <c r="L31" s="361" t="str">
        <f>IF(K31="","",VLOOKUP(K31,liste!$A$9:$H$145,2,FALSE))</f>
        <v/>
      </c>
      <c r="M31" s="357"/>
      <c r="N31" s="357"/>
      <c r="O31" s="362"/>
      <c r="P31" s="354"/>
      <c r="Q31" s="349" t="s">
        <v>106</v>
      </c>
      <c r="R31" s="729" t="str">
        <f>IF(TF="n","","T."&amp;Rens!G22)</f>
        <v/>
      </c>
      <c r="S31" s="363"/>
      <c r="T31" s="349"/>
      <c r="U31" s="355" t="str">
        <f>IF(TF="N","",VALUE(VLOOKUP(U30,TIR,4,FALSE)))</f>
        <v/>
      </c>
      <c r="V31" s="356" t="str">
        <f>IF(U31="","",VLOOKUP(U31,liste!$A$9:$H$145,2,FALSE))</f>
        <v/>
      </c>
      <c r="W31" s="359"/>
      <c r="X31" s="359"/>
      <c r="Y31" s="359"/>
      <c r="Z31" s="359"/>
      <c r="AA31" s="359"/>
      <c r="AB31" s="354"/>
      <c r="AC31" s="349"/>
      <c r="AD31" s="349"/>
      <c r="AE31" s="730" t="str">
        <f>IF(TF="n","","T."&amp;Rens!K22)</f>
        <v/>
      </c>
      <c r="AF31" s="364" t="s">
        <v>78</v>
      </c>
      <c r="AG31" s="360"/>
      <c r="AH31" s="356" t="str">
        <f>IF(AG31="","",VLOOKUP(AG31,liste!$A$9:$H$145,2,FALSE))</f>
        <v/>
      </c>
      <c r="AI31" s="365"/>
      <c r="AJ31" s="366"/>
      <c r="AK31" s="366"/>
      <c r="AL31" s="349"/>
      <c r="AM31" s="349"/>
      <c r="AN31" s="349"/>
      <c r="AO31" s="349"/>
      <c r="AP31" s="349"/>
      <c r="AQ31" s="351"/>
      <c r="AR31" s="351"/>
      <c r="AS31" s="351"/>
      <c r="AT31" s="729" t="str">
        <f>IF(TF="n","","T."&amp;Rens!K55)</f>
        <v/>
      </c>
      <c r="AU31" s="737"/>
      <c r="AV31" s="349"/>
      <c r="BC31" s="120"/>
      <c r="BD31" s="111" t="str">
        <f t="shared" si="2"/>
        <v>G1</v>
      </c>
      <c r="BE31" s="121" t="str">
        <f>'Poules G-H'!$AB$10</f>
        <v>G10</v>
      </c>
      <c r="BF31" s="112">
        <v>9</v>
      </c>
      <c r="BG31" s="112" t="str">
        <f>poG&amp;2</f>
        <v>2</v>
      </c>
      <c r="BH31" s="112" t="e">
        <f t="shared" si="0"/>
        <v>#N/A</v>
      </c>
      <c r="BI31" s="112" t="e">
        <f t="shared" si="1"/>
        <v>#N/A</v>
      </c>
    </row>
    <row r="32" spans="1:61" ht="18.75" customHeight="1" x14ac:dyDescent="0.25">
      <c r="A32" s="373"/>
      <c r="B32" s="351"/>
      <c r="C32" s="349"/>
      <c r="D32" s="349"/>
      <c r="E32" s="349"/>
      <c r="F32" s="349"/>
      <c r="G32" s="349"/>
      <c r="H32" s="349"/>
      <c r="I32" s="349"/>
      <c r="J32" s="368"/>
      <c r="K32" s="349"/>
      <c r="L32" s="349"/>
      <c r="M32" s="349"/>
      <c r="N32" s="349"/>
      <c r="O32" s="368"/>
      <c r="P32" s="369" t="str">
        <f>IF(AB32="","",IF(AB32=U31,U33,IF(AB32=U33,U31)))</f>
        <v/>
      </c>
      <c r="Q32" s="356" t="str">
        <f>IF(P32="","",VLOOKUP(P32,liste!$A$9:$H$145,2,FALSE))</f>
        <v/>
      </c>
      <c r="R32" s="370"/>
      <c r="S32" s="357"/>
      <c r="T32" s="362"/>
      <c r="U32" s="352">
        <v>14</v>
      </c>
      <c r="V32" s="349"/>
      <c r="W32" s="731"/>
      <c r="X32" s="349"/>
      <c r="Y32" s="349"/>
      <c r="Z32" s="732" t="str">
        <f>IF(TF="n","","T."&amp;Rens!C22)</f>
        <v/>
      </c>
      <c r="AA32" s="349"/>
      <c r="AB32" s="371"/>
      <c r="AC32" s="356" t="str">
        <f>IF(AB32="","",VLOOKUP(AB32,liste!$A$9:$H$145,2,FALSE))</f>
        <v/>
      </c>
      <c r="AD32" s="359"/>
      <c r="AE32" s="359"/>
      <c r="AF32" s="372"/>
      <c r="AG32" s="351"/>
      <c r="AH32" s="351"/>
      <c r="AI32" s="351"/>
      <c r="AJ32" s="349"/>
      <c r="AK32" s="349"/>
      <c r="AL32" s="373"/>
      <c r="AM32" s="351"/>
      <c r="AN32" s="351"/>
      <c r="AO32" s="351"/>
      <c r="AP32" s="349"/>
      <c r="AQ32" s="351"/>
      <c r="AR32" s="351"/>
      <c r="AS32" s="351"/>
      <c r="AT32" s="351"/>
      <c r="AU32" s="368"/>
      <c r="AV32" s="349"/>
      <c r="BC32" s="120"/>
      <c r="BD32" s="111" t="str">
        <f t="shared" si="2"/>
        <v>G2</v>
      </c>
      <c r="BE32" s="121" t="str">
        <f>'Poules G-H'!$AB$11</f>
        <v>G24</v>
      </c>
      <c r="BF32" s="112">
        <v>21</v>
      </c>
      <c r="BG32" s="112" t="str">
        <f>poG&amp;3</f>
        <v>3</v>
      </c>
      <c r="BH32" s="112" t="e">
        <f t="shared" si="0"/>
        <v>#N/A</v>
      </c>
      <c r="BI32" s="112" t="e">
        <f t="shared" si="1"/>
        <v>#N/A</v>
      </c>
    </row>
    <row r="33" spans="1:61" ht="18.75" customHeight="1" x14ac:dyDescent="0.25">
      <c r="A33" s="373"/>
      <c r="B33" s="351"/>
      <c r="C33" s="349"/>
      <c r="D33" s="349"/>
      <c r="E33" s="349"/>
      <c r="F33" s="349"/>
      <c r="G33" s="349"/>
      <c r="H33" s="349"/>
      <c r="I33" s="349"/>
      <c r="J33" s="368"/>
      <c r="K33" s="349"/>
      <c r="L33" s="349"/>
      <c r="M33" s="349"/>
      <c r="N33" s="349"/>
      <c r="O33" s="349"/>
      <c r="P33" s="354"/>
      <c r="Q33" s="349"/>
      <c r="R33" s="349"/>
      <c r="S33" s="351"/>
      <c r="T33" s="368"/>
      <c r="U33" s="355" t="str">
        <f>IF(TF="N","",VALUE(VLOOKUP(U32,TIR,4,FALSE)))</f>
        <v/>
      </c>
      <c r="V33" s="356" t="str">
        <f>IF(U33="","",VLOOKUP(U33,liste!$A$9:$H$145,2,FALSE))</f>
        <v/>
      </c>
      <c r="W33" s="359"/>
      <c r="X33" s="359"/>
      <c r="Y33" s="359"/>
      <c r="Z33" s="359"/>
      <c r="AA33" s="359"/>
      <c r="AB33" s="374"/>
      <c r="AC33" s="351"/>
      <c r="AD33" s="351"/>
      <c r="AE33" s="351"/>
      <c r="AF33" s="349"/>
      <c r="AG33" s="349"/>
      <c r="AH33" s="349"/>
      <c r="AI33" s="349"/>
      <c r="AJ33" s="349"/>
      <c r="AK33" s="349"/>
      <c r="AL33" s="373"/>
      <c r="AM33" s="351"/>
      <c r="AN33" s="351"/>
      <c r="AO33" s="351"/>
      <c r="AP33" s="349"/>
      <c r="AQ33" s="351"/>
      <c r="AR33" s="351"/>
      <c r="AS33" s="351"/>
      <c r="AT33" s="351"/>
      <c r="AU33" s="368"/>
      <c r="AV33" s="349"/>
      <c r="BC33" s="120"/>
      <c r="BD33" s="111" t="str">
        <f t="shared" si="2"/>
        <v>G2</v>
      </c>
      <c r="BE33" s="121" t="str">
        <f>'Poules G-H'!$AB$12</f>
        <v>G26</v>
      </c>
      <c r="BF33" s="112">
        <v>27</v>
      </c>
      <c r="BG33" s="112" t="str">
        <f>poG&amp;4</f>
        <v>4</v>
      </c>
      <c r="BH33" s="112" t="e">
        <f t="shared" si="0"/>
        <v>#N/A</v>
      </c>
      <c r="BI33" s="112" t="e">
        <f t="shared" si="1"/>
        <v>#N/A</v>
      </c>
    </row>
    <row r="34" spans="1:61" ht="18.75" customHeight="1" x14ac:dyDescent="0.25">
      <c r="A34" s="373"/>
      <c r="B34" s="351"/>
      <c r="C34" s="349"/>
      <c r="D34" s="349"/>
      <c r="E34" s="349"/>
      <c r="F34" s="360"/>
      <c r="G34" s="361" t="str">
        <f>IF(F34="","",VLOOKUP(F34,liste!$A$9:$H$145,2,FALSE))</f>
        <v/>
      </c>
      <c r="H34" s="366"/>
      <c r="I34" s="366"/>
      <c r="J34" s="399"/>
      <c r="K34" s="349" t="s">
        <v>107</v>
      </c>
      <c r="L34" s="733" t="str">
        <f>IF(TF="n","","T."&amp;Rens!G31)</f>
        <v/>
      </c>
      <c r="M34" s="729"/>
      <c r="N34" s="734"/>
      <c r="O34" s="363"/>
      <c r="P34" s="354"/>
      <c r="Q34" s="349"/>
      <c r="R34" s="349"/>
      <c r="S34" s="351"/>
      <c r="T34" s="351"/>
      <c r="U34" s="376">
        <v>11</v>
      </c>
      <c r="V34" s="377"/>
      <c r="W34" s="378"/>
      <c r="X34" s="377"/>
      <c r="Y34" s="377"/>
      <c r="Z34" s="379"/>
      <c r="AA34" s="379"/>
      <c r="AB34" s="358"/>
      <c r="AC34" s="351"/>
      <c r="AD34" s="351"/>
      <c r="AE34" s="351"/>
      <c r="AF34" s="349"/>
      <c r="AG34" s="349"/>
      <c r="AH34" s="349"/>
      <c r="AI34" s="349"/>
      <c r="AJ34" s="729" t="str">
        <f>IF(TF="n","","T."&amp;Rens!K31)</f>
        <v/>
      </c>
      <c r="AK34" s="394" t="s">
        <v>63</v>
      </c>
      <c r="AL34" s="371"/>
      <c r="AM34" s="356" t="str">
        <f>IF(AL34="","",VLOOKUP(AL34,liste!$A$9:$H$145,2,FALSE))</f>
        <v/>
      </c>
      <c r="AN34" s="366"/>
      <c r="AO34" s="366"/>
      <c r="AP34" s="366"/>
      <c r="AQ34" s="351"/>
      <c r="AR34" s="351"/>
      <c r="AS34" s="351"/>
      <c r="AT34" s="351"/>
      <c r="AU34" s="368"/>
      <c r="AV34" s="349"/>
      <c r="BC34" s="120">
        <v>8</v>
      </c>
      <c r="BD34" s="111" t="str">
        <f t="shared" si="2"/>
        <v>H8</v>
      </c>
      <c r="BE34" s="121" t="str">
        <f>'Poules G-H'!$AB$38</f>
        <v>H8</v>
      </c>
      <c r="BF34" s="112">
        <v>8</v>
      </c>
      <c r="BG34" s="112" t="str">
        <f>poH&amp;1</f>
        <v>1</v>
      </c>
      <c r="BH34" s="112" t="e">
        <f t="shared" si="0"/>
        <v>#N/A</v>
      </c>
      <c r="BI34" s="112" t="e">
        <f t="shared" si="1"/>
        <v>#N/A</v>
      </c>
    </row>
    <row r="35" spans="1:61" ht="18.75" customHeight="1" x14ac:dyDescent="0.25">
      <c r="A35" s="373"/>
      <c r="B35" s="351"/>
      <c r="C35" s="349"/>
      <c r="D35" s="349"/>
      <c r="E35" s="349"/>
      <c r="F35" s="380"/>
      <c r="G35" s="350"/>
      <c r="H35" s="350"/>
      <c r="I35" s="350"/>
      <c r="J35" s="350"/>
      <c r="K35" s="380"/>
      <c r="L35" s="349"/>
      <c r="M35" s="349"/>
      <c r="N35" s="349"/>
      <c r="O35" s="350"/>
      <c r="P35" s="354"/>
      <c r="Q35" s="349"/>
      <c r="R35" s="349"/>
      <c r="S35" s="349"/>
      <c r="T35" s="349"/>
      <c r="U35" s="355" t="str">
        <f>IF(TF="N","",VALUE(VLOOKUP(U34,TIR,4,FALSE)))</f>
        <v/>
      </c>
      <c r="V35" s="356" t="str">
        <f>IF(U35="","",VLOOKUP(U35,liste!$A$9:$H$145,2,FALSE))</f>
        <v/>
      </c>
      <c r="W35" s="359"/>
      <c r="X35" s="359"/>
      <c r="Y35" s="359"/>
      <c r="Z35" s="359"/>
      <c r="AA35" s="359"/>
      <c r="AB35" s="354"/>
      <c r="AC35" s="349"/>
      <c r="AD35" s="349"/>
      <c r="AE35" s="349"/>
      <c r="AF35" s="349"/>
      <c r="AG35" s="349"/>
      <c r="AH35" s="349"/>
      <c r="AI35" s="349"/>
      <c r="AJ35" s="350"/>
      <c r="AK35" s="382"/>
      <c r="AL35" s="350"/>
      <c r="AM35" s="350"/>
      <c r="AN35" s="350"/>
      <c r="AO35" s="350"/>
      <c r="AP35" s="382"/>
      <c r="AQ35" s="351"/>
      <c r="AR35" s="351"/>
      <c r="AS35" s="351"/>
      <c r="AT35" s="351"/>
      <c r="AU35" s="368"/>
      <c r="AV35" s="349"/>
      <c r="BC35" s="120"/>
      <c r="BD35" s="111" t="str">
        <f t="shared" si="2"/>
        <v>H1</v>
      </c>
      <c r="BE35" s="121" t="str">
        <f>'Poules G-H'!$AB$39</f>
        <v>H11</v>
      </c>
      <c r="BF35" s="112">
        <v>10</v>
      </c>
      <c r="BG35" s="112" t="str">
        <f>poH&amp;2</f>
        <v>2</v>
      </c>
      <c r="BH35" s="112" t="e">
        <f t="shared" si="0"/>
        <v>#N/A</v>
      </c>
      <c r="BI35" s="112" t="e">
        <f t="shared" si="1"/>
        <v>#N/A</v>
      </c>
    </row>
    <row r="36" spans="1:61" ht="18.75" customHeight="1" x14ac:dyDescent="0.25">
      <c r="A36" s="373"/>
      <c r="B36" s="351"/>
      <c r="C36" s="349"/>
      <c r="D36" s="349"/>
      <c r="E36" s="368"/>
      <c r="F36" s="349"/>
      <c r="G36" s="349"/>
      <c r="H36" s="349"/>
      <c r="I36" s="349"/>
      <c r="J36" s="368"/>
      <c r="K36" s="349"/>
      <c r="L36" s="349"/>
      <c r="M36" s="349"/>
      <c r="N36" s="349"/>
      <c r="O36" s="349"/>
      <c r="P36" s="369" t="str">
        <f>IF(AB36="","",IF(AB36=U35,U37,IF(AB36=U37,U35)))</f>
        <v/>
      </c>
      <c r="Q36" s="356" t="str">
        <f>IF(P36="","",VLOOKUP(P36,liste!$A$9:$H$145,2,FALSE))</f>
        <v/>
      </c>
      <c r="R36" s="357"/>
      <c r="S36" s="357"/>
      <c r="T36" s="362"/>
      <c r="U36" s="352">
        <v>22</v>
      </c>
      <c r="V36" s="349"/>
      <c r="W36" s="731"/>
      <c r="X36" s="349"/>
      <c r="Y36" s="349"/>
      <c r="Z36" s="732" t="str">
        <f>IF(TF="n","","T."&amp;Rens!C23)</f>
        <v/>
      </c>
      <c r="AA36" s="349"/>
      <c r="AB36" s="371"/>
      <c r="AC36" s="356" t="str">
        <f>IF(AB36="","",VLOOKUP(AB36,liste!$A$9:$H$145,2,FALSE))</f>
        <v/>
      </c>
      <c r="AD36" s="359"/>
      <c r="AE36" s="359"/>
      <c r="AF36" s="359"/>
      <c r="AG36" s="351"/>
      <c r="AH36" s="351"/>
      <c r="AI36" s="351"/>
      <c r="AJ36" s="349"/>
      <c r="AK36" s="349"/>
      <c r="AL36" s="373"/>
      <c r="AM36" s="351"/>
      <c r="AN36" s="351"/>
      <c r="AO36" s="351"/>
      <c r="AP36" s="368"/>
      <c r="AQ36" s="351"/>
      <c r="AR36" s="351"/>
      <c r="AS36" s="351"/>
      <c r="AT36" s="351"/>
      <c r="AU36" s="368"/>
      <c r="AV36" s="349"/>
      <c r="BC36" s="120"/>
      <c r="BD36" s="111" t="str">
        <f t="shared" si="2"/>
        <v>H2</v>
      </c>
      <c r="BE36" s="121" t="str">
        <f>'Poules G-H'!$AB$40</f>
        <v>H23</v>
      </c>
      <c r="BF36" s="112">
        <v>22</v>
      </c>
      <c r="BG36" s="112" t="str">
        <f>poH&amp;3</f>
        <v>3</v>
      </c>
      <c r="BH36" s="112" t="e">
        <f t="shared" si="0"/>
        <v>#N/A</v>
      </c>
      <c r="BI36" s="112" t="e">
        <f t="shared" si="1"/>
        <v>#N/A</v>
      </c>
    </row>
    <row r="37" spans="1:61" ht="18.75" customHeight="1" x14ac:dyDescent="0.25">
      <c r="A37" s="373"/>
      <c r="B37" s="351"/>
      <c r="C37" s="349"/>
      <c r="D37" s="349"/>
      <c r="E37" s="368"/>
      <c r="F37" s="349"/>
      <c r="G37" s="349"/>
      <c r="H37" s="349"/>
      <c r="I37" s="349"/>
      <c r="J37" s="368"/>
      <c r="K37" s="392"/>
      <c r="L37" s="361" t="str">
        <f>IF(K37="","",VLOOKUP(K37,liste!$A$9:$H$145,2,FALSE))</f>
        <v/>
      </c>
      <c r="M37" s="357"/>
      <c r="N37" s="357"/>
      <c r="O37" s="362"/>
      <c r="P37" s="352">
        <v>27</v>
      </c>
      <c r="Q37" s="349" t="s">
        <v>108</v>
      </c>
      <c r="R37" s="729" t="str">
        <f>IF(TF="n","","T."&amp;Rens!G23)</f>
        <v/>
      </c>
      <c r="S37" s="367"/>
      <c r="T37" s="368"/>
      <c r="U37" s="355" t="str">
        <f>IF(TF="N","",VALUE(VLOOKUP(U36,TIR,4,FALSE)))</f>
        <v/>
      </c>
      <c r="V37" s="356" t="str">
        <f>IF(U37="","",VLOOKUP(U37,liste!$A$9:$H$145,2,FALSE))</f>
        <v/>
      </c>
      <c r="W37" s="359"/>
      <c r="X37" s="359"/>
      <c r="Y37" s="359"/>
      <c r="Z37" s="359"/>
      <c r="AA37" s="359"/>
      <c r="AB37" s="352">
        <v>6</v>
      </c>
      <c r="AC37" s="351"/>
      <c r="AD37" s="351"/>
      <c r="AE37" s="730" t="str">
        <f>IF(TF="n","","T."&amp;Rens!K23)</f>
        <v/>
      </c>
      <c r="AF37" s="364" t="s">
        <v>79</v>
      </c>
      <c r="AG37" s="360"/>
      <c r="AH37" s="356" t="str">
        <f>IF(AG37="","",VLOOKUP(AG37,liste!$A$9:$H$145,2,FALSE))</f>
        <v/>
      </c>
      <c r="AI37" s="365"/>
      <c r="AJ37" s="366"/>
      <c r="AK37" s="366"/>
      <c r="AL37" s="373"/>
      <c r="AM37" s="351"/>
      <c r="AN37" s="351"/>
      <c r="AO37" s="351"/>
      <c r="AP37" s="368"/>
      <c r="AQ37" s="351"/>
      <c r="AR37" s="351"/>
      <c r="AS37" s="351"/>
      <c r="AT37" s="351"/>
      <c r="AU37" s="368"/>
      <c r="AV37" s="349"/>
      <c r="BC37" s="120"/>
      <c r="BD37" s="111" t="str">
        <f t="shared" si="2"/>
        <v>H2</v>
      </c>
      <c r="BE37" s="121" t="str">
        <f>'Poules G-H'!$AB$41</f>
        <v>H25</v>
      </c>
      <c r="BF37" s="112">
        <v>28</v>
      </c>
      <c r="BG37" s="112" t="str">
        <f>poH&amp;4</f>
        <v>4</v>
      </c>
      <c r="BH37" s="112" t="e">
        <f t="shared" si="0"/>
        <v>#N/A</v>
      </c>
      <c r="BI37" s="112" t="e">
        <f t="shared" si="1"/>
        <v>#N/A</v>
      </c>
    </row>
    <row r="38" spans="1:61" ht="18.75" customHeight="1" x14ac:dyDescent="0.2">
      <c r="A38" s="373"/>
      <c r="B38" s="351"/>
      <c r="C38" s="349"/>
      <c r="D38" s="349"/>
      <c r="E38" s="368"/>
      <c r="F38" s="349"/>
      <c r="G38" s="349"/>
      <c r="H38" s="349"/>
      <c r="I38" s="349"/>
      <c r="J38" s="349"/>
      <c r="K38" s="349"/>
      <c r="L38" s="349"/>
      <c r="M38" s="349"/>
      <c r="N38" s="349"/>
      <c r="O38" s="368"/>
      <c r="P38" s="355" t="str">
        <f>IF(TF="N","",VALUE(VLOOKUP(P37,TIR,4,FALSE)))</f>
        <v/>
      </c>
      <c r="Q38" s="356" t="str">
        <f>IF(P38="","",VLOOKUP(P38,liste!$A$9:$H$145,2,FALSE))</f>
        <v/>
      </c>
      <c r="R38" s="357"/>
      <c r="S38" s="357"/>
      <c r="T38" s="357"/>
      <c r="U38" s="358"/>
      <c r="V38" s="358"/>
      <c r="W38" s="358"/>
      <c r="X38" s="358"/>
      <c r="Y38" s="358"/>
      <c r="Z38" s="349"/>
      <c r="AA38" s="349"/>
      <c r="AB38" s="355" t="str">
        <f>IF(TF="N","",VALUE(VLOOKUP(AB37,TIR,4,FALSE)))</f>
        <v/>
      </c>
      <c r="AC38" s="356" t="str">
        <f>IF(AB38="","",VLOOKUP(AB38,liste!$A$9:$H$145,2,FALSE))</f>
        <v/>
      </c>
      <c r="AD38" s="359"/>
      <c r="AE38" s="359"/>
      <c r="AF38" s="372"/>
      <c r="AG38" s="351"/>
      <c r="AH38" s="351"/>
      <c r="AI38" s="351"/>
      <c r="AJ38" s="349"/>
      <c r="AK38" s="349"/>
      <c r="AL38" s="349"/>
      <c r="AM38" s="349"/>
      <c r="AN38" s="349"/>
      <c r="AO38" s="349"/>
      <c r="AP38" s="368"/>
      <c r="AQ38" s="351"/>
      <c r="AR38" s="351"/>
      <c r="AS38" s="351"/>
      <c r="AT38" s="351"/>
      <c r="AU38" s="368"/>
      <c r="AV38" s="349"/>
      <c r="BG38" s="145"/>
      <c r="BH38" s="145"/>
      <c r="BI38" s="145"/>
    </row>
    <row r="39" spans="1:61" ht="18.75" customHeight="1" x14ac:dyDescent="0.25">
      <c r="A39" s="371"/>
      <c r="B39" s="361" t="str">
        <f>IF(A39="","",VLOOKUP(A39,liste!$A$9:$H$145,2,FALSE))</f>
        <v/>
      </c>
      <c r="C39" s="357"/>
      <c r="D39" s="357"/>
      <c r="E39" s="362"/>
      <c r="F39" s="349" t="s">
        <v>109</v>
      </c>
      <c r="G39" s="733" t="str">
        <f>IF(TF="n","","T."&amp;Rens!G42)</f>
        <v/>
      </c>
      <c r="H39" s="349"/>
      <c r="I39" s="731"/>
      <c r="J39" s="349"/>
      <c r="K39" s="349"/>
      <c r="L39" s="349"/>
      <c r="M39" s="349"/>
      <c r="N39" s="349"/>
      <c r="O39" s="351"/>
      <c r="P39" s="352">
        <v>26</v>
      </c>
      <c r="Q39" s="379"/>
      <c r="R39" s="379"/>
      <c r="S39" s="379"/>
      <c r="T39" s="387"/>
      <c r="U39" s="377"/>
      <c r="V39" s="377"/>
      <c r="W39" s="377"/>
      <c r="X39" s="377"/>
      <c r="Y39" s="377"/>
      <c r="Z39" s="379"/>
      <c r="AA39" s="379"/>
      <c r="AB39" s="376">
        <v>7</v>
      </c>
      <c r="AC39" s="379"/>
      <c r="AD39" s="379"/>
      <c r="AE39" s="379"/>
      <c r="AF39" s="379"/>
      <c r="AG39" s="351"/>
      <c r="AH39" s="351"/>
      <c r="AI39" s="351"/>
      <c r="AJ39" s="349"/>
      <c r="AK39" s="349"/>
      <c r="AL39" s="349"/>
      <c r="AM39" s="349"/>
      <c r="AN39" s="349"/>
      <c r="AO39" s="729" t="str">
        <f>IF(TF="n","","T."&amp;Rens!K42)</f>
        <v/>
      </c>
      <c r="AP39" s="364" t="s">
        <v>35</v>
      </c>
      <c r="AQ39" s="360"/>
      <c r="AR39" s="356" t="str">
        <f>IF(AQ39="","",VLOOKUP(AQ39,liste!$A$9:$H$145,2,FALSE))</f>
        <v/>
      </c>
      <c r="AS39" s="388"/>
      <c r="AT39" s="388"/>
      <c r="AU39" s="395"/>
      <c r="AV39" s="349"/>
      <c r="BB39" s="363" t="s">
        <v>4</v>
      </c>
      <c r="BC39" s="363"/>
      <c r="BD39" s="363"/>
    </row>
    <row r="40" spans="1:61" ht="18.75" customHeight="1" x14ac:dyDescent="0.25">
      <c r="A40" s="350"/>
      <c r="B40" s="350"/>
      <c r="C40" s="350"/>
      <c r="D40" s="350"/>
      <c r="E40" s="350"/>
      <c r="F40" s="380"/>
      <c r="G40" s="350"/>
      <c r="H40" s="350"/>
      <c r="I40" s="350"/>
      <c r="J40" s="350"/>
      <c r="K40" s="349"/>
      <c r="L40" s="349"/>
      <c r="M40" s="349"/>
      <c r="N40" s="349"/>
      <c r="O40" s="349"/>
      <c r="P40" s="355" t="str">
        <f>IF(TF="N","",VALUE(VLOOKUP(P39,TIR,4,FALSE)))</f>
        <v/>
      </c>
      <c r="Q40" s="356" t="str">
        <f>IF(P40="","",VLOOKUP(P40,liste!$A$9:$H$145,2,FALSE))</f>
        <v/>
      </c>
      <c r="R40" s="357"/>
      <c r="S40" s="357"/>
      <c r="T40" s="357"/>
      <c r="U40" s="352">
        <v>23</v>
      </c>
      <c r="V40" s="358"/>
      <c r="W40" s="358"/>
      <c r="X40" s="358"/>
      <c r="Y40" s="358"/>
      <c r="Z40" s="349"/>
      <c r="AA40" s="349"/>
      <c r="AB40" s="355" t="str">
        <f>IF(TF="N","",VALUE(VLOOKUP(AB39,TIR,4,FALSE)))</f>
        <v/>
      </c>
      <c r="AC40" s="356" t="str">
        <f>IF(AB40="","",VLOOKUP(AB40,liste!$A$9:$H$145,2,FALSE))</f>
        <v/>
      </c>
      <c r="AD40" s="359"/>
      <c r="AE40" s="359"/>
      <c r="AF40" s="359"/>
      <c r="AG40" s="351"/>
      <c r="AH40" s="351"/>
      <c r="AI40" s="351"/>
      <c r="AJ40" s="349"/>
      <c r="AK40" s="349"/>
      <c r="AL40" s="349"/>
      <c r="AM40" s="349"/>
      <c r="AN40" s="349"/>
      <c r="AO40" s="350"/>
      <c r="AP40" s="382"/>
      <c r="AQ40" s="350"/>
      <c r="AR40" s="400"/>
      <c r="AS40" s="350"/>
      <c r="AT40" s="350"/>
      <c r="AU40" s="350"/>
      <c r="AV40" s="349"/>
      <c r="BB40" s="386">
        <v>1</v>
      </c>
      <c r="BC40" s="965" t="str">
        <f>AQ29</f>
        <v/>
      </c>
      <c r="BD40" s="966"/>
    </row>
    <row r="41" spans="1:61" ht="18.75" customHeight="1" x14ac:dyDescent="0.25">
      <c r="A41" s="349"/>
      <c r="B41" s="349"/>
      <c r="C41" s="349"/>
      <c r="D41" s="349"/>
      <c r="E41" s="368"/>
      <c r="F41" s="349"/>
      <c r="G41" s="349"/>
      <c r="H41" s="349"/>
      <c r="I41" s="349"/>
      <c r="J41" s="349"/>
      <c r="K41" s="360"/>
      <c r="L41" s="361" t="str">
        <f>IF(K41="","",VLOOKUP(K41,liste!$A$9:$H$145,2,FALSE))</f>
        <v/>
      </c>
      <c r="M41" s="357"/>
      <c r="N41" s="357"/>
      <c r="O41" s="362"/>
      <c r="P41" s="354"/>
      <c r="Q41" s="393" t="s">
        <v>110</v>
      </c>
      <c r="R41" s="729" t="str">
        <f>IF(TF="n","","T."&amp;Rens!G24)</f>
        <v/>
      </c>
      <c r="S41" s="363"/>
      <c r="T41" s="349"/>
      <c r="U41" s="401" t="str">
        <f>IF(TF="N","",VALUE(VLOOKUP(U40,TIR,4,FALSE)))</f>
        <v/>
      </c>
      <c r="V41" s="356" t="str">
        <f>IF(U41="","",VLOOKUP(U41,liste!$A$9:$H$145,2,FALSE))</f>
        <v/>
      </c>
      <c r="W41" s="359"/>
      <c r="X41" s="359"/>
      <c r="Y41" s="359"/>
      <c r="Z41" s="359"/>
      <c r="AA41" s="359"/>
      <c r="AB41" s="354"/>
      <c r="AC41" s="349"/>
      <c r="AD41" s="349"/>
      <c r="AE41" s="730" t="str">
        <f>IF(TF="n","","T."&amp;Rens!K24)</f>
        <v/>
      </c>
      <c r="AF41" s="364" t="s">
        <v>111</v>
      </c>
      <c r="AG41" s="360"/>
      <c r="AH41" s="356" t="str">
        <f>IF(AG41="","",VLOOKUP(AG41,liste!$A$9:$H$145,2,FALSE))</f>
        <v/>
      </c>
      <c r="AI41" s="365"/>
      <c r="AJ41" s="366"/>
      <c r="AK41" s="366"/>
      <c r="AL41" s="349"/>
      <c r="AM41" s="349"/>
      <c r="AN41" s="349"/>
      <c r="AO41" s="349"/>
      <c r="AP41" s="368"/>
      <c r="AQ41" s="349"/>
      <c r="AR41" s="349"/>
      <c r="AS41" s="349"/>
      <c r="AT41" s="349"/>
      <c r="AU41" s="349"/>
      <c r="AV41" s="349"/>
      <c r="BB41" s="386">
        <v>2</v>
      </c>
      <c r="BC41" s="965" t="str">
        <f>IF(BC40="","",IF(AQ29=AR19,AR39,IF(AQ29=AR39,AR19)))</f>
        <v/>
      </c>
      <c r="BD41" s="966"/>
    </row>
    <row r="42" spans="1:61" ht="18.75" customHeight="1" x14ac:dyDescent="0.25">
      <c r="A42" s="349"/>
      <c r="B42" s="349"/>
      <c r="C42" s="349"/>
      <c r="D42" s="349"/>
      <c r="E42" s="368"/>
      <c r="F42" s="349"/>
      <c r="G42" s="349"/>
      <c r="H42" s="349"/>
      <c r="I42" s="349"/>
      <c r="J42" s="368"/>
      <c r="K42" s="349"/>
      <c r="L42" s="349"/>
      <c r="M42" s="349"/>
      <c r="N42" s="349"/>
      <c r="O42" s="368"/>
      <c r="P42" s="369" t="str">
        <f>IF(AB42="","",IF(AB42=U41,U43,IF(AB42=U43,U41)))</f>
        <v/>
      </c>
      <c r="Q42" s="356" t="str">
        <f>IF(P42="","",VLOOKUP(P42,liste!$A$9:$H$145,2,FALSE))</f>
        <v/>
      </c>
      <c r="R42" s="357"/>
      <c r="S42" s="357"/>
      <c r="T42" s="362"/>
      <c r="U42" s="352">
        <v>10</v>
      </c>
      <c r="V42" s="349"/>
      <c r="W42" s="731"/>
      <c r="X42" s="349"/>
      <c r="Y42" s="349"/>
      <c r="Z42" s="732" t="str">
        <f>IF(TF="n","","T."&amp;Rens!C24)</f>
        <v/>
      </c>
      <c r="AA42" s="368"/>
      <c r="AB42" s="360"/>
      <c r="AC42" s="356" t="str">
        <f>IF(AB42="","",VLOOKUP(AB42,liste!$A$9:$H$145,2,FALSE))</f>
        <v/>
      </c>
      <c r="AD42" s="359"/>
      <c r="AE42" s="359"/>
      <c r="AF42" s="372"/>
      <c r="AG42" s="351"/>
      <c r="AH42" s="351"/>
      <c r="AI42" s="351"/>
      <c r="AJ42" s="349"/>
      <c r="AK42" s="349"/>
      <c r="AL42" s="373"/>
      <c r="AM42" s="351"/>
      <c r="AN42" s="351"/>
      <c r="AO42" s="351"/>
      <c r="AP42" s="368"/>
      <c r="AQ42" s="349"/>
      <c r="AR42" s="349"/>
      <c r="AS42" s="349"/>
      <c r="AT42" s="349"/>
      <c r="AU42" s="349"/>
      <c r="AV42" s="349"/>
      <c r="BB42" s="386">
        <v>3</v>
      </c>
      <c r="BC42" s="965" t="str">
        <f>AR59</f>
        <v/>
      </c>
      <c r="BD42" s="966"/>
    </row>
    <row r="43" spans="1:61" ht="18.75" customHeight="1" x14ac:dyDescent="0.25">
      <c r="A43" s="349"/>
      <c r="B43" s="349"/>
      <c r="C43" s="349"/>
      <c r="D43" s="349"/>
      <c r="E43" s="368"/>
      <c r="F43" s="349"/>
      <c r="G43" s="349"/>
      <c r="H43" s="349"/>
      <c r="I43" s="349"/>
      <c r="J43" s="368"/>
      <c r="K43" s="349"/>
      <c r="L43" s="349"/>
      <c r="M43" s="349"/>
      <c r="N43" s="349"/>
      <c r="O43" s="349"/>
      <c r="P43" s="354"/>
      <c r="Q43" s="349"/>
      <c r="R43" s="349"/>
      <c r="S43" s="351"/>
      <c r="T43" s="368"/>
      <c r="U43" s="401" t="str">
        <f>IF(TF="N","",VALUE(VLOOKUP(U42,TIR,4,FALSE)))</f>
        <v/>
      </c>
      <c r="V43" s="356" t="str">
        <f>IF(U43="","",VLOOKUP(U43,liste!$A$9:$H$145,2,FALSE))</f>
        <v/>
      </c>
      <c r="W43" s="359"/>
      <c r="X43" s="359"/>
      <c r="Y43" s="359"/>
      <c r="Z43" s="359"/>
      <c r="AA43" s="372"/>
      <c r="AB43" s="354"/>
      <c r="AC43" s="349"/>
      <c r="AD43" s="349"/>
      <c r="AE43" s="349"/>
      <c r="AF43" s="349"/>
      <c r="AG43" s="349"/>
      <c r="AH43" s="349"/>
      <c r="AI43" s="349"/>
      <c r="AJ43" s="349"/>
      <c r="AK43" s="349"/>
      <c r="AL43" s="373"/>
      <c r="AM43" s="351"/>
      <c r="AN43" s="351"/>
      <c r="AO43" s="351"/>
      <c r="AP43" s="368"/>
      <c r="AQ43" s="349"/>
      <c r="AR43" s="349"/>
      <c r="AS43" s="349"/>
      <c r="AT43" s="349"/>
      <c r="AU43" s="349"/>
      <c r="AV43" s="349"/>
      <c r="BB43" s="386">
        <v>4</v>
      </c>
      <c r="BC43" s="965" t="str">
        <f>IF(BC42="","",IF(AR59=AM58,AM60,IF(AR59=AM60,AM58)))</f>
        <v/>
      </c>
      <c r="BD43" s="966"/>
    </row>
    <row r="44" spans="1:61" ht="18.75" customHeight="1" x14ac:dyDescent="0.25">
      <c r="A44" s="349"/>
      <c r="B44" s="349"/>
      <c r="C44" s="349"/>
      <c r="D44" s="349"/>
      <c r="E44" s="368"/>
      <c r="F44" s="360"/>
      <c r="G44" s="361" t="str">
        <f>IF(F44="","",VLOOKUP(F44,liste!$A$9:$H$145,2,FALSE))</f>
        <v/>
      </c>
      <c r="H44" s="357"/>
      <c r="I44" s="357"/>
      <c r="J44" s="362"/>
      <c r="K44" s="349" t="s">
        <v>112</v>
      </c>
      <c r="L44" s="733" t="str">
        <f>IF(TF="n","","T."&amp;Rens!G32)</f>
        <v/>
      </c>
      <c r="M44" s="349"/>
      <c r="N44" s="734"/>
      <c r="O44" s="402"/>
      <c r="P44" s="354"/>
      <c r="Q44" s="349"/>
      <c r="R44" s="349"/>
      <c r="S44" s="351"/>
      <c r="T44" s="351"/>
      <c r="U44" s="376">
        <v>15</v>
      </c>
      <c r="V44" s="377"/>
      <c r="W44" s="378"/>
      <c r="X44" s="377"/>
      <c r="Y44" s="377"/>
      <c r="Z44" s="379"/>
      <c r="AA44" s="379"/>
      <c r="AB44" s="354"/>
      <c r="AC44" s="349"/>
      <c r="AD44" s="349"/>
      <c r="AE44" s="349"/>
      <c r="AF44" s="349"/>
      <c r="AG44" s="349"/>
      <c r="AH44" s="349"/>
      <c r="AI44" s="349"/>
      <c r="AJ44" s="729" t="str">
        <f>IF(TF="n","","T."&amp;Rens!K32)</f>
        <v/>
      </c>
      <c r="AK44" s="394" t="s">
        <v>73</v>
      </c>
      <c r="AL44" s="371"/>
      <c r="AM44" s="356" t="str">
        <f>IF(AL44="","",VLOOKUP(AL44,liste!$A$9:$H$145,2,FALSE))</f>
        <v/>
      </c>
      <c r="AN44" s="366"/>
      <c r="AO44" s="366"/>
      <c r="AP44" s="395"/>
      <c r="AQ44" s="349"/>
      <c r="AR44" s="349"/>
      <c r="AS44" s="349"/>
      <c r="AT44" s="349"/>
      <c r="AU44" s="349"/>
      <c r="AV44" s="349"/>
      <c r="BB44" s="386">
        <v>5</v>
      </c>
      <c r="BC44" s="965" t="str">
        <f>AX68</f>
        <v/>
      </c>
      <c r="BD44" s="966"/>
    </row>
    <row r="45" spans="1:61" ht="18.75" customHeight="1" x14ac:dyDescent="0.25">
      <c r="A45" s="349"/>
      <c r="B45" s="349"/>
      <c r="C45" s="349"/>
      <c r="D45" s="349"/>
      <c r="E45" s="351"/>
      <c r="F45" s="350"/>
      <c r="G45" s="350"/>
      <c r="H45" s="350"/>
      <c r="I45" s="350"/>
      <c r="J45" s="350"/>
      <c r="K45" s="380"/>
      <c r="L45" s="350"/>
      <c r="M45" s="350"/>
      <c r="N45" s="350"/>
      <c r="O45" s="350"/>
      <c r="P45" s="354"/>
      <c r="Q45" s="349"/>
      <c r="R45" s="349"/>
      <c r="S45" s="349"/>
      <c r="T45" s="349"/>
      <c r="U45" s="355" t="str">
        <f>IF(TF="N","",VALUE(VLOOKUP(U44,TIR,4,FALSE)))</f>
        <v/>
      </c>
      <c r="V45" s="356" t="str">
        <f>IF(U45="","",VLOOKUP(U45,liste!$A$9:$H$145,2,FALSE))</f>
        <v/>
      </c>
      <c r="W45" s="359"/>
      <c r="X45" s="359"/>
      <c r="Y45" s="359"/>
      <c r="Z45" s="359"/>
      <c r="AA45" s="359"/>
      <c r="AB45" s="354"/>
      <c r="AC45" s="349"/>
      <c r="AD45" s="349"/>
      <c r="AE45" s="349"/>
      <c r="AF45" s="349"/>
      <c r="AG45" s="349"/>
      <c r="AH45" s="349"/>
      <c r="AI45" s="349"/>
      <c r="AJ45" s="350"/>
      <c r="AK45" s="382"/>
      <c r="AL45" s="350"/>
      <c r="AM45" s="350"/>
      <c r="AN45" s="350"/>
      <c r="AO45" s="350"/>
      <c r="AP45" s="350"/>
      <c r="AQ45" s="349"/>
      <c r="AR45" s="349"/>
      <c r="AS45" s="349"/>
      <c r="AT45" s="349"/>
      <c r="AU45" s="349"/>
      <c r="AV45" s="349"/>
      <c r="BB45" s="386">
        <v>6</v>
      </c>
      <c r="BC45" s="965" t="str">
        <f>IF(BC44="","",IF(AX68=AS66,AS70,IF(AX68=AS70,AS66)))</f>
        <v/>
      </c>
      <c r="BD45" s="966"/>
    </row>
    <row r="46" spans="1:61" ht="18.75" customHeight="1" x14ac:dyDescent="0.25">
      <c r="A46" s="349"/>
      <c r="B46" s="349"/>
      <c r="C46" s="349"/>
      <c r="D46" s="349"/>
      <c r="E46" s="349"/>
      <c r="F46" s="349"/>
      <c r="G46" s="349"/>
      <c r="H46" s="349"/>
      <c r="I46" s="349"/>
      <c r="J46" s="368"/>
      <c r="K46" s="349"/>
      <c r="L46" s="349"/>
      <c r="M46" s="349"/>
      <c r="N46" s="349"/>
      <c r="O46" s="349"/>
      <c r="P46" s="369" t="str">
        <f>IF(AB46="","",IF(AB46=U45,U47,IF(AB46=U47,U45)))</f>
        <v/>
      </c>
      <c r="Q46" s="356" t="str">
        <f>IF(P46="","",VLOOKUP(P46,liste!$A$9:$H$145,2,FALSE))</f>
        <v/>
      </c>
      <c r="R46" s="359"/>
      <c r="S46" s="359"/>
      <c r="T46" s="372"/>
      <c r="U46" s="352">
        <v>18</v>
      </c>
      <c r="V46" s="349"/>
      <c r="W46" s="731"/>
      <c r="X46" s="349"/>
      <c r="Y46" s="349"/>
      <c r="Z46" s="732" t="str">
        <f>IF(TF="n","","T."&amp;Rens!C25)</f>
        <v/>
      </c>
      <c r="AA46" s="368"/>
      <c r="AB46" s="360"/>
      <c r="AC46" s="356" t="str">
        <f>IF(AB46="","",VLOOKUP(AB46,liste!$A$9:$H$145,2,FALSE))</f>
        <v/>
      </c>
      <c r="AD46" s="359"/>
      <c r="AE46" s="359"/>
      <c r="AF46" s="359"/>
      <c r="AG46" s="351"/>
      <c r="AH46" s="351"/>
      <c r="AI46" s="351"/>
      <c r="AJ46" s="349"/>
      <c r="AK46" s="349"/>
      <c r="AL46" s="373"/>
      <c r="AM46" s="351"/>
      <c r="AN46" s="351"/>
      <c r="AO46" s="351"/>
      <c r="AP46" s="349"/>
      <c r="AQ46" s="349"/>
      <c r="AR46" s="349"/>
      <c r="AS46" s="349"/>
      <c r="AT46" s="349"/>
      <c r="AU46" s="349"/>
      <c r="AV46" s="349"/>
      <c r="BB46" s="386">
        <v>7</v>
      </c>
      <c r="BC46" s="965" t="str">
        <f>AD68</f>
        <v/>
      </c>
      <c r="BD46" s="966"/>
    </row>
    <row r="47" spans="1:61" ht="18.75" customHeight="1" x14ac:dyDescent="0.25">
      <c r="A47" s="349"/>
      <c r="B47" s="349"/>
      <c r="C47" s="349"/>
      <c r="D47" s="349"/>
      <c r="E47" s="349"/>
      <c r="F47" s="349"/>
      <c r="G47" s="349"/>
      <c r="H47" s="349"/>
      <c r="I47" s="349"/>
      <c r="J47" s="368"/>
      <c r="K47" s="360"/>
      <c r="L47" s="361" t="str">
        <f>IF(K47="","",VLOOKUP(K47,liste!$A$9:$H$145,2,FALSE))</f>
        <v/>
      </c>
      <c r="M47" s="357"/>
      <c r="N47" s="357"/>
      <c r="O47" s="362"/>
      <c r="P47" s="352">
        <v>31</v>
      </c>
      <c r="Q47" s="393" t="s">
        <v>113</v>
      </c>
      <c r="R47" s="729" t="str">
        <f>IF(TF="n","","T."&amp;Rens!G25)</f>
        <v/>
      </c>
      <c r="S47" s="367"/>
      <c r="T47" s="368"/>
      <c r="U47" s="355" t="str">
        <f>IF(TF="N","",VALUE(VLOOKUP(U46,TIR,4,FALSE)))</f>
        <v/>
      </c>
      <c r="V47" s="356" t="str">
        <f>IF(U47="","",VLOOKUP(U47,liste!$A$9:$H$145,2,FALSE))</f>
        <v/>
      </c>
      <c r="W47" s="359"/>
      <c r="X47" s="359"/>
      <c r="Y47" s="359"/>
      <c r="Z47" s="359"/>
      <c r="AA47" s="372"/>
      <c r="AB47" s="352">
        <v>2</v>
      </c>
      <c r="AC47" s="349"/>
      <c r="AD47" s="349"/>
      <c r="AE47" s="730" t="str">
        <f>IF(TF="n","","T."&amp;Rens!K25)</f>
        <v/>
      </c>
      <c r="AF47" s="364" t="s">
        <v>114</v>
      </c>
      <c r="AG47" s="360"/>
      <c r="AH47" s="356" t="str">
        <f>IF(AG47="","",VLOOKUP(AG47,liste!$A$9:$H$145,2,FALSE))</f>
        <v/>
      </c>
      <c r="AI47" s="365"/>
      <c r="AJ47" s="366"/>
      <c r="AK47" s="366"/>
      <c r="AL47" s="373"/>
      <c r="AM47" s="351"/>
      <c r="AN47" s="351"/>
      <c r="AO47" s="351"/>
      <c r="AP47" s="349"/>
      <c r="AQ47" s="349"/>
      <c r="AR47" s="349"/>
      <c r="AS47" s="349"/>
      <c r="AT47" s="349"/>
      <c r="AU47" s="349"/>
      <c r="AV47" s="349"/>
      <c r="BB47" s="386">
        <v>8</v>
      </c>
      <c r="BC47" s="965" t="str">
        <f>IF(BC46="","",IF(AD68=AI66,AI70,IF(AD68=AI70,AI66)))</f>
        <v/>
      </c>
      <c r="BD47" s="966"/>
    </row>
    <row r="48" spans="1:61" ht="18.75" customHeight="1" x14ac:dyDescent="0.25">
      <c r="A48" s="349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68"/>
      <c r="P48" s="355" t="str">
        <f>IF(TF="N","",VALUE(VLOOKUP(P47,TIR,4,FALSE)))</f>
        <v/>
      </c>
      <c r="Q48" s="356" t="str">
        <f>IF(P48="","",VLOOKUP(P48,liste!$A$9:$H$145,2,FALSE))</f>
        <v/>
      </c>
      <c r="R48" s="359"/>
      <c r="S48" s="359"/>
      <c r="T48" s="359"/>
      <c r="U48" s="358"/>
      <c r="V48" s="358"/>
      <c r="W48" s="358"/>
      <c r="X48" s="358"/>
      <c r="Y48" s="358"/>
      <c r="Z48" s="349"/>
      <c r="AA48" s="349"/>
      <c r="AB48" s="355" t="str">
        <f>IF(TF="N","",VALUE(VLOOKUP(AB47,TIR,4,FALSE)))</f>
        <v/>
      </c>
      <c r="AC48" s="356" t="str">
        <f>IF(AB48="","",VLOOKUP(AB48,liste!$A$9:$H$145,2,FALSE))</f>
        <v/>
      </c>
      <c r="AD48" s="359"/>
      <c r="AE48" s="359"/>
      <c r="AF48" s="372"/>
      <c r="AG48" s="351"/>
      <c r="AH48" s="351"/>
      <c r="AI48" s="351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BB48" s="386">
        <v>9</v>
      </c>
      <c r="BC48" s="965" t="str">
        <f>AX83</f>
        <v/>
      </c>
      <c r="BD48" s="966"/>
    </row>
    <row r="49" spans="1:56" ht="18.75" customHeight="1" thickBot="1" x14ac:dyDescent="0.3">
      <c r="A49" s="349"/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54"/>
      <c r="Q49" s="349"/>
      <c r="R49" s="349"/>
      <c r="S49" s="349"/>
      <c r="T49" s="349"/>
      <c r="U49" s="354"/>
      <c r="V49" s="349"/>
      <c r="W49" s="349"/>
      <c r="X49" s="349"/>
      <c r="Y49" s="403">
        <v>3</v>
      </c>
      <c r="Z49" s="403">
        <v>4</v>
      </c>
      <c r="AA49" s="403">
        <v>5</v>
      </c>
      <c r="AB49" s="403">
        <v>6</v>
      </c>
      <c r="AC49" s="403">
        <v>7</v>
      </c>
      <c r="AD49" s="403">
        <v>8</v>
      </c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BB49" s="386">
        <v>10</v>
      </c>
      <c r="BC49" s="965" t="str">
        <f>IF(BC48="","",IF(AX83=AX79,AX87,IF(AX83=AX87,AX79)))</f>
        <v/>
      </c>
      <c r="BD49" s="966"/>
    </row>
    <row r="50" spans="1:56" ht="18.75" customHeight="1" thickBot="1" x14ac:dyDescent="0.3">
      <c r="A50" s="349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51"/>
      <c r="O50" s="351"/>
      <c r="P50" s="358"/>
      <c r="Q50" s="367"/>
      <c r="R50" s="351"/>
      <c r="S50" s="367"/>
      <c r="T50" s="358"/>
      <c r="U50" s="404" t="s">
        <v>94</v>
      </c>
      <c r="V50" s="405"/>
      <c r="W50" s="406" t="s">
        <v>33</v>
      </c>
      <c r="X50" s="406" t="s">
        <v>35</v>
      </c>
      <c r="Y50" s="406"/>
      <c r="Z50" s="406"/>
      <c r="AA50" s="407"/>
      <c r="AB50" s="406"/>
      <c r="AC50" s="406"/>
      <c r="AD50" s="406"/>
      <c r="AE50" s="349"/>
      <c r="AF50" s="408" t="s">
        <v>115</v>
      </c>
      <c r="AG50" s="409"/>
      <c r="AH50" s="410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50"/>
      <c r="AX50" s="350"/>
      <c r="AY50" s="350"/>
      <c r="BB50" s="386">
        <v>11</v>
      </c>
      <c r="BC50" s="965" t="str">
        <f>AW93</f>
        <v/>
      </c>
      <c r="BD50" s="966"/>
    </row>
    <row r="51" spans="1:56" ht="18.75" customHeight="1" thickBot="1" x14ac:dyDescent="0.3">
      <c r="A51" s="349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51"/>
      <c r="O51" s="351"/>
      <c r="P51" s="358"/>
      <c r="Q51" s="351"/>
      <c r="R51" s="411"/>
      <c r="S51" s="412"/>
      <c r="T51" s="413"/>
      <c r="U51" s="414" t="s">
        <v>34</v>
      </c>
      <c r="V51" s="415"/>
      <c r="W51" s="728">
        <v>1</v>
      </c>
      <c r="X51" s="728">
        <v>2</v>
      </c>
      <c r="Y51" s="728">
        <v>3</v>
      </c>
      <c r="Z51" s="728">
        <v>4</v>
      </c>
      <c r="AA51" s="728">
        <v>5</v>
      </c>
      <c r="AB51" s="728">
        <v>6</v>
      </c>
      <c r="AC51" s="728">
        <v>7</v>
      </c>
      <c r="AD51" s="728">
        <v>8</v>
      </c>
      <c r="AE51" s="349"/>
      <c r="AF51" s="416"/>
      <c r="AG51" s="417" t="s">
        <v>114</v>
      </c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49"/>
      <c r="AT51" s="349"/>
      <c r="AU51" s="349"/>
      <c r="AV51" s="349"/>
      <c r="AW51" s="350"/>
      <c r="AX51" s="350"/>
      <c r="AY51" s="350"/>
      <c r="BB51" s="386">
        <v>12</v>
      </c>
      <c r="BC51" s="965" t="str">
        <f>IF(BC50="","",IF(AW93=AX91,AX95,IF(AW93=AX95,AX91)))</f>
        <v/>
      </c>
      <c r="BD51" s="966"/>
    </row>
    <row r="52" spans="1:56" ht="18.75" customHeight="1" thickBot="1" x14ac:dyDescent="0.3">
      <c r="A52" s="349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1"/>
      <c r="O52" s="383"/>
      <c r="P52" s="358"/>
      <c r="Q52" s="351"/>
      <c r="R52" s="418" t="s">
        <v>4</v>
      </c>
      <c r="S52" s="419"/>
      <c r="T52" s="420"/>
      <c r="U52" s="414" t="s">
        <v>59</v>
      </c>
      <c r="V52" s="415"/>
      <c r="W52" s="728">
        <v>15</v>
      </c>
      <c r="X52" s="728">
        <v>16</v>
      </c>
      <c r="Y52" s="728">
        <v>13</v>
      </c>
      <c r="Z52" s="728">
        <v>14</v>
      </c>
      <c r="AA52" s="728">
        <v>11</v>
      </c>
      <c r="AB52" s="728">
        <v>12</v>
      </c>
      <c r="AC52" s="728">
        <v>9</v>
      </c>
      <c r="AD52" s="728">
        <v>10</v>
      </c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50"/>
      <c r="AX52" s="350"/>
      <c r="AY52" s="350"/>
      <c r="BB52" s="386">
        <v>13</v>
      </c>
      <c r="BC52" s="965" t="str">
        <f>AD83</f>
        <v/>
      </c>
      <c r="BD52" s="966"/>
    </row>
    <row r="53" spans="1:56" ht="18.75" customHeight="1" thickBot="1" x14ac:dyDescent="0.3">
      <c r="A53" s="349"/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1"/>
      <c r="O53" s="351"/>
      <c r="P53" s="358"/>
      <c r="Q53" s="351"/>
      <c r="R53" s="421"/>
      <c r="S53" s="419"/>
      <c r="T53" s="420"/>
      <c r="U53" s="414" t="s">
        <v>60</v>
      </c>
      <c r="V53" s="415"/>
      <c r="W53" s="728">
        <v>19</v>
      </c>
      <c r="X53" s="728">
        <v>20</v>
      </c>
      <c r="Y53" s="728">
        <v>17</v>
      </c>
      <c r="Z53" s="728">
        <v>18</v>
      </c>
      <c r="AA53" s="728">
        <v>23</v>
      </c>
      <c r="AB53" s="728">
        <v>24</v>
      </c>
      <c r="AC53" s="728">
        <v>21</v>
      </c>
      <c r="AD53" s="728">
        <v>22</v>
      </c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51"/>
      <c r="AX53" s="351"/>
      <c r="AY53" s="351"/>
      <c r="BB53" s="386">
        <v>14</v>
      </c>
      <c r="BC53" s="965" t="str">
        <f>IF(BC52="","",IF(AD83=AD79,AD87,IF(AD83=AD87,AD79)))</f>
        <v/>
      </c>
      <c r="BD53" s="966"/>
    </row>
    <row r="54" spans="1:56" ht="18.75" customHeight="1" thickBot="1" x14ac:dyDescent="0.3">
      <c r="A54" s="349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51"/>
      <c r="O54" s="351"/>
      <c r="P54" s="358"/>
      <c r="Q54" s="351"/>
      <c r="R54" s="422"/>
      <c r="S54" s="423"/>
      <c r="T54" s="424"/>
      <c r="U54" s="414" t="s">
        <v>62</v>
      </c>
      <c r="V54" s="415"/>
      <c r="W54" s="728">
        <v>29</v>
      </c>
      <c r="X54" s="728">
        <v>30</v>
      </c>
      <c r="Y54" s="728">
        <v>31</v>
      </c>
      <c r="Z54" s="728">
        <v>32</v>
      </c>
      <c r="AA54" s="728">
        <v>25</v>
      </c>
      <c r="AB54" s="728">
        <v>26</v>
      </c>
      <c r="AC54" s="728">
        <v>27</v>
      </c>
      <c r="AD54" s="728">
        <v>28</v>
      </c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  <c r="AS54" s="349"/>
      <c r="AT54" s="349"/>
      <c r="AU54" s="349"/>
      <c r="AV54" s="349"/>
      <c r="AW54" s="351"/>
      <c r="AX54" s="351"/>
      <c r="AY54" s="351"/>
      <c r="BB54" s="386">
        <v>15</v>
      </c>
      <c r="BC54" s="965" t="str">
        <f>AE93</f>
        <v/>
      </c>
      <c r="BD54" s="966"/>
    </row>
    <row r="55" spans="1:56" ht="15.95" customHeight="1" thickBot="1" x14ac:dyDescent="0.3">
      <c r="O55" s="139"/>
      <c r="P55" s="133"/>
      <c r="Q55" s="139"/>
      <c r="R55" s="134"/>
      <c r="S55" s="134"/>
      <c r="T55" s="137"/>
      <c r="V55" s="137"/>
      <c r="W55" s="137"/>
      <c r="X55" s="137"/>
      <c r="Y55" s="137"/>
      <c r="Z55" s="148"/>
      <c r="AA55" s="148"/>
      <c r="AC55" s="137"/>
      <c r="AD55" s="137"/>
      <c r="AX55" s="139"/>
      <c r="AY55" s="139"/>
      <c r="BB55" s="386">
        <v>16</v>
      </c>
      <c r="BC55" s="965" t="str">
        <f>IF(BC54="","",IF(AE93=AE91,AE95,IF(AE93=AE95,AE91)))</f>
        <v/>
      </c>
      <c r="BD55" s="966"/>
    </row>
    <row r="56" spans="1:56" ht="19.5" customHeight="1" thickTop="1" x14ac:dyDescent="0.3">
      <c r="A56" s="967" t="s">
        <v>116</v>
      </c>
      <c r="B56" s="968"/>
      <c r="C56" s="968"/>
      <c r="D56" s="968"/>
      <c r="E56" s="968"/>
      <c r="F56" s="968"/>
      <c r="G56" s="968"/>
      <c r="H56" s="968"/>
      <c r="I56" s="968"/>
      <c r="J56" s="968"/>
      <c r="K56" s="968"/>
      <c r="L56" s="968"/>
      <c r="M56" s="968"/>
      <c r="N56" s="968"/>
      <c r="O56" s="968"/>
      <c r="P56" s="968"/>
      <c r="Q56" s="968"/>
      <c r="R56" s="968"/>
      <c r="S56" s="968"/>
      <c r="T56" s="968"/>
      <c r="U56" s="968"/>
      <c r="V56" s="968"/>
      <c r="W56" s="968"/>
      <c r="X56" s="968"/>
      <c r="Y56" s="968"/>
      <c r="Z56" s="968"/>
      <c r="AA56" s="969"/>
      <c r="AB56" s="967" t="s">
        <v>117</v>
      </c>
      <c r="AC56" s="968"/>
      <c r="AD56" s="968"/>
      <c r="AE56" s="968"/>
      <c r="AF56" s="968"/>
      <c r="AG56" s="968"/>
      <c r="AH56" s="968"/>
      <c r="AI56" s="968"/>
      <c r="AJ56" s="968"/>
      <c r="AK56" s="968"/>
      <c r="AL56" s="968"/>
      <c r="AM56" s="968"/>
      <c r="AN56" s="968"/>
      <c r="AO56" s="968"/>
      <c r="AP56" s="968"/>
      <c r="AQ56" s="968"/>
      <c r="AR56" s="968"/>
      <c r="AS56" s="968"/>
      <c r="AT56" s="968"/>
      <c r="AU56" s="968"/>
      <c r="AV56" s="968"/>
      <c r="AW56" s="968"/>
      <c r="AX56" s="968"/>
      <c r="AY56" s="968"/>
      <c r="AZ56" s="969"/>
      <c r="BB56" s="386">
        <v>17</v>
      </c>
      <c r="BC56" s="965" t="str">
        <f>B29</f>
        <v/>
      </c>
      <c r="BD56" s="966"/>
    </row>
    <row r="57" spans="1:56" ht="19.5" customHeight="1" x14ac:dyDescent="0.25">
      <c r="A57" s="961">
        <f>Rens!F56</f>
        <v>0</v>
      </c>
      <c r="B57" s="964"/>
      <c r="C57" s="964"/>
      <c r="D57" s="964"/>
      <c r="E57" s="964"/>
      <c r="F57" s="964"/>
      <c r="G57" s="964"/>
      <c r="H57" s="964"/>
      <c r="I57" s="964"/>
      <c r="J57" s="964"/>
      <c r="K57" s="964"/>
      <c r="L57" s="964"/>
      <c r="M57" s="964"/>
      <c r="N57" s="964"/>
      <c r="O57" s="964"/>
      <c r="P57" s="964"/>
      <c r="Q57" s="964"/>
      <c r="R57" s="964"/>
      <c r="S57" s="964"/>
      <c r="T57" s="964"/>
      <c r="U57" s="964"/>
      <c r="V57" s="964"/>
      <c r="W57" s="964"/>
      <c r="X57" s="964"/>
      <c r="Y57" s="964"/>
      <c r="Z57" s="964"/>
      <c r="AA57" s="973"/>
      <c r="AB57" s="961">
        <f>Rens!J56</f>
        <v>0</v>
      </c>
      <c r="AC57" s="964"/>
      <c r="AD57" s="964"/>
      <c r="AE57" s="964"/>
      <c r="AF57" s="964"/>
      <c r="AG57" s="964"/>
      <c r="AH57" s="964"/>
      <c r="AI57" s="964"/>
      <c r="AJ57" s="964"/>
      <c r="AK57" s="964"/>
      <c r="AL57" s="964"/>
      <c r="AM57" s="964"/>
      <c r="AN57" s="964"/>
      <c r="AO57" s="964"/>
      <c r="AP57" s="964"/>
      <c r="AQ57" s="964"/>
      <c r="AR57" s="964"/>
      <c r="AS57" s="964"/>
      <c r="AT57" s="964"/>
      <c r="AU57" s="964"/>
      <c r="AV57" s="964"/>
      <c r="AW57" s="964"/>
      <c r="AX57" s="964"/>
      <c r="AY57" s="964"/>
      <c r="AZ57" s="163"/>
      <c r="BB57" s="386">
        <v>18</v>
      </c>
      <c r="BC57" s="965" t="str">
        <f>IF(BC56="","",IF(B29=B19,B39,IF(B29=B39,B19)))</f>
        <v/>
      </c>
      <c r="BD57" s="966"/>
    </row>
    <row r="58" spans="1:56" ht="19.5" customHeight="1" x14ac:dyDescent="0.25">
      <c r="A58" s="164"/>
      <c r="B58" s="139"/>
      <c r="C58" s="139"/>
      <c r="D58" s="139"/>
      <c r="E58" s="139"/>
      <c r="F58" s="139"/>
      <c r="G58" s="139"/>
      <c r="H58" s="139"/>
      <c r="I58" s="139"/>
      <c r="J58" s="139"/>
      <c r="K58" s="214" t="str">
        <f>IF(A19="","",IF(A19=F14,F24,IF(A19=F24,F14)))</f>
        <v/>
      </c>
      <c r="L58" s="202" t="str">
        <f>IF(K58="","",VLOOKUP(K58,liste!$A$9:$H$145,2,FALSE))</f>
        <v/>
      </c>
      <c r="M58" s="143"/>
      <c r="N58" s="143"/>
      <c r="O58" s="143"/>
      <c r="P58" s="165" t="s">
        <v>118</v>
      </c>
      <c r="Q58" s="166"/>
      <c r="R58" s="139"/>
      <c r="S58" s="134"/>
      <c r="T58" s="133"/>
      <c r="U58" s="133"/>
      <c r="V58" s="133"/>
      <c r="W58" s="133"/>
      <c r="X58" s="133"/>
      <c r="Y58" s="133"/>
      <c r="Z58" s="133"/>
      <c r="AA58" s="167"/>
      <c r="AB58" s="168"/>
      <c r="AC58" s="133"/>
      <c r="AD58" s="133"/>
      <c r="AE58" s="139"/>
      <c r="AF58" s="139"/>
      <c r="AG58" s="139"/>
      <c r="AH58" s="139"/>
      <c r="AI58" s="139"/>
      <c r="AJ58" s="139"/>
      <c r="AK58" s="169" t="s">
        <v>119</v>
      </c>
      <c r="AL58" s="219" t="str">
        <f>IF(AQ19="","",IF(AQ19=AL14,AL24,IF(AQ19=AL24,AL14)))</f>
        <v/>
      </c>
      <c r="AM58" s="203" t="str">
        <f>IF(AL58="","",VLOOKUP(AL58,liste!$A$9:$H$145,2,FALSE))</f>
        <v/>
      </c>
      <c r="AN58" s="144"/>
      <c r="AO58" s="144"/>
      <c r="AP58" s="144"/>
      <c r="AQ58" s="139"/>
      <c r="AR58" s="139"/>
      <c r="AS58" s="139"/>
      <c r="AT58" s="139"/>
      <c r="AU58" s="139"/>
      <c r="AV58" s="139"/>
      <c r="AW58" s="139"/>
      <c r="AX58" s="139"/>
      <c r="AY58" s="139"/>
      <c r="AZ58" s="170"/>
      <c r="BB58" s="386">
        <v>19</v>
      </c>
      <c r="BC58" s="965" t="str">
        <f>G59</f>
        <v/>
      </c>
      <c r="BD58" s="966"/>
    </row>
    <row r="59" spans="1:56" ht="19.5" customHeight="1" x14ac:dyDescent="0.25">
      <c r="A59" s="164"/>
      <c r="B59" s="139"/>
      <c r="C59" s="139"/>
      <c r="D59" s="139"/>
      <c r="E59" s="139"/>
      <c r="F59" s="207"/>
      <c r="G59" s="202" t="str">
        <f>IF(F59="","",VLOOKUP(F59,liste!$A$9:$H$145,2,FALSE))</f>
        <v/>
      </c>
      <c r="H59" s="143"/>
      <c r="I59" s="143"/>
      <c r="J59" s="147"/>
      <c r="K59" s="139"/>
      <c r="L59" s="738" t="str">
        <f>IF(TF="n","","T."&amp;Rens!G56)</f>
        <v/>
      </c>
      <c r="M59" s="139"/>
      <c r="N59" s="139"/>
      <c r="O59" s="739"/>
      <c r="P59" s="133"/>
      <c r="Q59" s="139"/>
      <c r="R59" s="139"/>
      <c r="S59" s="134"/>
      <c r="T59" s="133"/>
      <c r="U59" s="133"/>
      <c r="V59" s="133"/>
      <c r="W59" s="133"/>
      <c r="X59" s="133"/>
      <c r="Y59" s="133"/>
      <c r="Z59" s="133"/>
      <c r="AA59" s="167"/>
      <c r="AB59" s="168"/>
      <c r="AC59" s="133"/>
      <c r="AD59" s="133"/>
      <c r="AE59" s="139"/>
      <c r="AF59" s="139"/>
      <c r="AG59" s="139"/>
      <c r="AH59" s="139"/>
      <c r="AI59" s="139"/>
      <c r="AJ59" s="139"/>
      <c r="AK59" s="139"/>
      <c r="AL59" s="139"/>
      <c r="AM59" s="139"/>
      <c r="AN59" s="740"/>
      <c r="AO59" s="741" t="str">
        <f>IF(TF="n","","T."&amp;Rens!K56)</f>
        <v/>
      </c>
      <c r="AP59" s="171"/>
      <c r="AQ59" s="207"/>
      <c r="AR59" s="203" t="str">
        <f>IF(AQ59="","",VLOOKUP(AQ59,liste!$A$9:$H$145,2,FALSE))</f>
        <v/>
      </c>
      <c r="AS59" s="143"/>
      <c r="AT59" s="143"/>
      <c r="AU59" s="143"/>
      <c r="AV59" s="139"/>
      <c r="AW59" s="139"/>
      <c r="AX59" s="139"/>
      <c r="AY59" s="139"/>
      <c r="AZ59" s="170"/>
      <c r="BB59" s="386">
        <v>20</v>
      </c>
      <c r="BC59" s="965" t="str">
        <f>IF(BC58="","",IF(G59=L58,L60,IF(G59=L60,L58)))</f>
        <v/>
      </c>
      <c r="BD59" s="966"/>
    </row>
    <row r="60" spans="1:56" ht="19.5" customHeight="1" x14ac:dyDescent="0.25">
      <c r="A60" s="164"/>
      <c r="B60" s="139"/>
      <c r="C60" s="139"/>
      <c r="D60" s="139"/>
      <c r="E60" s="139"/>
      <c r="F60" s="139"/>
      <c r="G60" s="139"/>
      <c r="H60" s="139"/>
      <c r="I60" s="139"/>
      <c r="J60" s="152"/>
      <c r="K60" s="214" t="str">
        <f>IF(A39="","",IF(A39=F34,F44,IF(A39=F44,F34)))</f>
        <v/>
      </c>
      <c r="L60" s="202" t="str">
        <f>IF(K60="","",VLOOKUP(K60,liste!$A$9:$H$145,2,FALSE))</f>
        <v/>
      </c>
      <c r="M60" s="143"/>
      <c r="N60" s="143"/>
      <c r="O60" s="143"/>
      <c r="P60" s="165" t="s">
        <v>120</v>
      </c>
      <c r="Q60" s="166"/>
      <c r="R60" s="139"/>
      <c r="S60" s="134"/>
      <c r="T60" s="133"/>
      <c r="U60" s="133"/>
      <c r="V60" s="133"/>
      <c r="W60" s="133"/>
      <c r="X60" s="133"/>
      <c r="Y60" s="133"/>
      <c r="Z60" s="133"/>
      <c r="AA60" s="167"/>
      <c r="AB60" s="168"/>
      <c r="AC60" s="133"/>
      <c r="AD60" s="133"/>
      <c r="AE60" s="139"/>
      <c r="AF60" s="139"/>
      <c r="AG60" s="139"/>
      <c r="AH60" s="139"/>
      <c r="AI60" s="139"/>
      <c r="AJ60" s="139"/>
      <c r="AK60" s="169" t="s">
        <v>121</v>
      </c>
      <c r="AL60" s="219" t="str">
        <f>IF(AQ39="","",IF(AQ39=AL34,AL44,IF(AQ39=AL44,AL34)))</f>
        <v/>
      </c>
      <c r="AM60" s="203" t="str">
        <f>IF(AL60="","",VLOOKUP(AL60,liste!$A$9:$H$145,2,FALSE))</f>
        <v/>
      </c>
      <c r="AN60" s="144"/>
      <c r="AO60" s="144"/>
      <c r="AP60" s="153"/>
      <c r="AQ60" s="139"/>
      <c r="AR60" s="139"/>
      <c r="AS60" s="139"/>
      <c r="AT60" s="139"/>
      <c r="AU60" s="139"/>
      <c r="AV60" s="139"/>
      <c r="AW60" s="139"/>
      <c r="AX60" s="139"/>
      <c r="AY60" s="139"/>
      <c r="AZ60" s="170"/>
      <c r="BB60" s="386">
        <v>21</v>
      </c>
      <c r="BC60" s="965" t="str">
        <f>W68</f>
        <v/>
      </c>
      <c r="BD60" s="966"/>
    </row>
    <row r="61" spans="1:56" ht="19.5" customHeight="1" x14ac:dyDescent="0.25">
      <c r="A61" s="164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3"/>
      <c r="Q61" s="139"/>
      <c r="R61" s="139"/>
      <c r="S61" s="134"/>
      <c r="T61" s="133"/>
      <c r="U61" s="133"/>
      <c r="V61" s="133"/>
      <c r="W61" s="133"/>
      <c r="X61" s="133"/>
      <c r="Y61" s="133"/>
      <c r="Z61" s="133"/>
      <c r="AA61" s="167"/>
      <c r="AB61" s="168"/>
      <c r="AC61" s="133"/>
      <c r="AD61" s="133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70"/>
      <c r="BB61" s="386">
        <v>22</v>
      </c>
      <c r="BC61" s="965" t="str">
        <f>IF(BC60="","",IF(W68=R66,R70,IF(W68=R70,R66)))</f>
        <v/>
      </c>
      <c r="BD61" s="966"/>
    </row>
    <row r="62" spans="1:56" ht="19.5" customHeight="1" thickBot="1" x14ac:dyDescent="0.3">
      <c r="A62" s="172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4"/>
      <c r="Q62" s="173"/>
      <c r="R62" s="175"/>
      <c r="S62" s="175"/>
      <c r="T62" s="174"/>
      <c r="U62" s="174"/>
      <c r="V62" s="174"/>
      <c r="W62" s="174"/>
      <c r="X62" s="174"/>
      <c r="Y62" s="174"/>
      <c r="Z62" s="174"/>
      <c r="AA62" s="176"/>
      <c r="AB62" s="177"/>
      <c r="AC62" s="174"/>
      <c r="AD62" s="174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8"/>
      <c r="BB62" s="386">
        <v>23</v>
      </c>
      <c r="BC62" s="965" t="str">
        <f>B68</f>
        <v/>
      </c>
      <c r="BD62" s="966"/>
    </row>
    <row r="63" spans="1:56" ht="19.5" customHeight="1" thickTop="1" x14ac:dyDescent="0.3">
      <c r="A63" s="494"/>
      <c r="B63" s="495"/>
      <c r="C63" s="495"/>
      <c r="D63" s="495"/>
      <c r="E63" s="495"/>
      <c r="F63" s="226" t="s">
        <v>256</v>
      </c>
      <c r="G63" s="495"/>
      <c r="H63" s="495"/>
      <c r="I63" s="495"/>
      <c r="J63" s="495"/>
      <c r="K63" s="495"/>
      <c r="L63" s="226" t="s">
        <v>224</v>
      </c>
      <c r="M63" s="495"/>
      <c r="N63" s="495"/>
      <c r="O63" s="495"/>
      <c r="P63" s="495"/>
      <c r="Q63" s="226" t="s">
        <v>255</v>
      </c>
      <c r="R63" s="226"/>
      <c r="S63" s="495"/>
      <c r="T63" s="495"/>
      <c r="U63" s="495"/>
      <c r="V63" s="495"/>
      <c r="W63" s="495"/>
      <c r="X63" s="495"/>
      <c r="Y63" s="495"/>
      <c r="Z63" s="495"/>
      <c r="AA63" s="496"/>
      <c r="AB63" s="225"/>
      <c r="AC63" s="226" t="s">
        <v>263</v>
      </c>
      <c r="AD63" s="226"/>
      <c r="AE63" s="226"/>
      <c r="AF63" s="226"/>
      <c r="AG63" s="226"/>
      <c r="AH63" s="226"/>
      <c r="AI63" s="226"/>
      <c r="AJ63" s="226"/>
      <c r="AK63" s="226"/>
      <c r="AL63" s="226"/>
      <c r="AM63" s="226" t="s">
        <v>235</v>
      </c>
      <c r="AN63" s="226"/>
      <c r="AO63" s="226"/>
      <c r="AP63" s="226"/>
      <c r="AQ63" s="226"/>
      <c r="AR63" s="226" t="s">
        <v>262</v>
      </c>
      <c r="AS63" s="226"/>
      <c r="AT63" s="226"/>
      <c r="AU63" s="226"/>
      <c r="AV63" s="226"/>
      <c r="AW63" s="226"/>
      <c r="AX63" s="226"/>
      <c r="AY63" s="226"/>
      <c r="AZ63" s="227"/>
      <c r="BB63" s="386">
        <v>24</v>
      </c>
      <c r="BC63" s="965" t="str">
        <f>IF(BC62="","",IF(B68=G66,G70,IF(B68=G70,G66)))</f>
        <v/>
      </c>
      <c r="BD63" s="966"/>
    </row>
    <row r="64" spans="1:56" ht="19.5" customHeight="1" x14ac:dyDescent="0.25">
      <c r="A64" s="164"/>
      <c r="B64" s="139"/>
      <c r="C64" s="139"/>
      <c r="D64" s="139"/>
      <c r="E64" s="139"/>
      <c r="F64" s="963">
        <f>Rens!F58</f>
        <v>0</v>
      </c>
      <c r="G64" s="964"/>
      <c r="H64" s="964"/>
      <c r="I64" s="964"/>
      <c r="J64" s="964"/>
      <c r="K64" s="963">
        <f>Rens!F44</f>
        <v>0</v>
      </c>
      <c r="L64" s="964"/>
      <c r="M64" s="964"/>
      <c r="N64" s="964"/>
      <c r="O64" s="964"/>
      <c r="P64" s="964"/>
      <c r="Q64" s="963">
        <f>Rens!F57</f>
        <v>0</v>
      </c>
      <c r="R64" s="964"/>
      <c r="S64" s="964"/>
      <c r="T64" s="964"/>
      <c r="U64" s="964"/>
      <c r="V64" s="139"/>
      <c r="W64" s="139"/>
      <c r="X64" s="139"/>
      <c r="Y64" s="139"/>
      <c r="Z64" s="139"/>
      <c r="AA64" s="170"/>
      <c r="AB64" s="168"/>
      <c r="AC64" s="139"/>
      <c r="AD64" s="139"/>
      <c r="AE64" s="139"/>
      <c r="AF64" s="139"/>
      <c r="AG64" s="139"/>
      <c r="AH64" s="963">
        <f>Rens!J58</f>
        <v>0</v>
      </c>
      <c r="AI64" s="964"/>
      <c r="AJ64" s="964"/>
      <c r="AK64" s="964"/>
      <c r="AL64" s="964"/>
      <c r="AM64" s="963">
        <f>Rens!J44</f>
        <v>0</v>
      </c>
      <c r="AN64" s="964"/>
      <c r="AO64" s="964"/>
      <c r="AP64" s="964"/>
      <c r="AQ64" s="964"/>
      <c r="AR64" s="963">
        <f>Rens!J57</f>
        <v>0</v>
      </c>
      <c r="AS64" s="964"/>
      <c r="AT64" s="964"/>
      <c r="AU64" s="964"/>
      <c r="AV64" s="964"/>
      <c r="AW64" s="139"/>
      <c r="AX64" s="139"/>
      <c r="AY64" s="139"/>
      <c r="AZ64" s="170"/>
      <c r="BB64" s="386">
        <v>25</v>
      </c>
      <c r="BC64" s="965" t="str">
        <f>V83</f>
        <v/>
      </c>
      <c r="BD64" s="966"/>
    </row>
    <row r="65" spans="1:56" ht="19.5" customHeight="1" x14ac:dyDescent="0.25">
      <c r="A65" s="164"/>
      <c r="B65" s="139"/>
      <c r="C65" s="139"/>
      <c r="D65" s="139"/>
      <c r="E65" s="139"/>
      <c r="F65" s="139"/>
      <c r="G65" s="139"/>
      <c r="H65" s="139"/>
      <c r="I65" s="139"/>
      <c r="J65" s="139"/>
      <c r="K65" s="169" t="s">
        <v>122</v>
      </c>
      <c r="L65" s="214" t="str">
        <f>IF(F14="","",IF(F14=K11,K17,IF(F14=K17,K11)))</f>
        <v/>
      </c>
      <c r="M65" s="202" t="str">
        <f>IF(L65="","",VLOOKUP(L65,liste!$A$9:$H$145,2,FALSE))</f>
        <v/>
      </c>
      <c r="N65" s="179"/>
      <c r="O65" s="143"/>
      <c r="P65" s="180"/>
      <c r="Q65" s="139"/>
      <c r="R65" s="139"/>
      <c r="S65" s="139"/>
      <c r="T65" s="139"/>
      <c r="U65" s="133"/>
      <c r="V65" s="139"/>
      <c r="W65" s="139"/>
      <c r="X65" s="139"/>
      <c r="Y65" s="139"/>
      <c r="Z65" s="139"/>
      <c r="AA65" s="170"/>
      <c r="AB65" s="168"/>
      <c r="AC65" s="139"/>
      <c r="AD65" s="139"/>
      <c r="AE65" s="139"/>
      <c r="AF65" s="139"/>
      <c r="AG65" s="139"/>
      <c r="AH65" s="139"/>
      <c r="AI65" s="139"/>
      <c r="AJ65" s="139"/>
      <c r="AK65" s="139"/>
      <c r="AL65" s="181" t="s">
        <v>123</v>
      </c>
      <c r="AM65" s="214" t="str">
        <f>IF(AL14="","",IF(AL14=AG11,AG17,IF(AL14=AG17,AG11)))</f>
        <v/>
      </c>
      <c r="AN65" s="203" t="str">
        <f>IF(AM65="","",VLOOKUP(AM65,liste!$A$9:$H$145,2,FALSE))</f>
        <v/>
      </c>
      <c r="AO65" s="144"/>
      <c r="AP65" s="144"/>
      <c r="AQ65" s="144"/>
      <c r="AR65" s="139"/>
      <c r="AS65" s="139"/>
      <c r="AT65" s="139"/>
      <c r="AU65" s="139"/>
      <c r="AV65" s="139"/>
      <c r="AW65" s="139"/>
      <c r="AX65" s="139"/>
      <c r="AY65" s="139"/>
      <c r="AZ65" s="170"/>
      <c r="BB65" s="386">
        <v>26</v>
      </c>
      <c r="BC65" s="965" t="str">
        <f>IF(BC64="","",IF(V83=W79,W87,IF(V83=W87,W79)))</f>
        <v/>
      </c>
      <c r="BD65" s="966"/>
    </row>
    <row r="66" spans="1:56" ht="19.5" customHeight="1" x14ac:dyDescent="0.25">
      <c r="A66" s="164"/>
      <c r="B66" s="139"/>
      <c r="C66" s="139"/>
      <c r="D66" s="139"/>
      <c r="E66" s="139"/>
      <c r="F66" s="214" t="str">
        <f>IF(Q66="","",IF(Q66=L65,L67,IF(Q66=L67,L65)))</f>
        <v/>
      </c>
      <c r="G66" s="202" t="str">
        <f>IF(F66="","",VLOOKUP(F66,liste!$A$9:$H$145,2,FALSE))</f>
        <v/>
      </c>
      <c r="H66" s="143"/>
      <c r="I66" s="143"/>
      <c r="J66" s="147"/>
      <c r="K66" s="139"/>
      <c r="L66" s="139"/>
      <c r="M66" s="155"/>
      <c r="N66" s="139"/>
      <c r="O66" s="741" t="str">
        <f>IF(TF="n","","T."&amp;Rens!G44)</f>
        <v/>
      </c>
      <c r="P66" s="182"/>
      <c r="Q66" s="207"/>
      <c r="R66" s="202" t="str">
        <f>IF(Q66="","",VLOOKUP(Q66,liste!$A$9:$H$145,2,FALSE))</f>
        <v/>
      </c>
      <c r="S66" s="143"/>
      <c r="T66" s="143"/>
      <c r="U66" s="180"/>
      <c r="V66" s="139"/>
      <c r="W66" s="139"/>
      <c r="X66" s="139"/>
      <c r="Y66" s="139"/>
      <c r="Z66" s="139"/>
      <c r="AA66" s="170"/>
      <c r="AB66" s="168"/>
      <c r="AC66" s="139"/>
      <c r="AD66" s="139"/>
      <c r="AE66" s="139"/>
      <c r="AF66" s="139"/>
      <c r="AG66" s="139"/>
      <c r="AH66" s="219" t="str">
        <f>IF(AR66="","",IF(AR66=AM65,AM67,IF(AR66=AM67,AM65)))</f>
        <v/>
      </c>
      <c r="AI66" s="203" t="str">
        <f>IF(AH66="","",VLOOKUP(AH66,liste!$A$9:$H$145,2,FALSE))</f>
        <v/>
      </c>
      <c r="AJ66" s="143"/>
      <c r="AK66" s="143"/>
      <c r="AL66" s="147"/>
      <c r="AM66" s="156"/>
      <c r="AN66" s="139"/>
      <c r="AO66" s="740"/>
      <c r="AP66" s="741" t="str">
        <f>IF(TF="n","","T."&amp;Rens!K44)</f>
        <v/>
      </c>
      <c r="AQ66" s="152"/>
      <c r="AR66" s="207"/>
      <c r="AS66" s="203" t="str">
        <f>IF(AR66="","",VLOOKUP(AR66,liste!$A$9:$H$145,2,FALSE))</f>
        <v/>
      </c>
      <c r="AT66" s="143"/>
      <c r="AU66" s="143"/>
      <c r="AV66" s="143"/>
      <c r="AW66" s="136"/>
      <c r="AX66" s="139"/>
      <c r="AY66" s="139"/>
      <c r="AZ66" s="170"/>
      <c r="BB66" s="386">
        <v>27</v>
      </c>
      <c r="BC66" s="965" t="str">
        <f>V93</f>
        <v/>
      </c>
      <c r="BD66" s="966"/>
    </row>
    <row r="67" spans="1:56" ht="19.5" customHeight="1" x14ac:dyDescent="0.25">
      <c r="A67" s="164"/>
      <c r="B67" s="139"/>
      <c r="C67" s="139"/>
      <c r="D67" s="139"/>
      <c r="E67" s="152"/>
      <c r="F67" s="139"/>
      <c r="G67" s="155"/>
      <c r="H67" s="139"/>
      <c r="I67" s="139"/>
      <c r="J67" s="152"/>
      <c r="K67" s="183" t="s">
        <v>124</v>
      </c>
      <c r="L67" s="214" t="str">
        <f>IF(F24="","",IF(F24=K21,K27,IF(F24=K27,K21)))</f>
        <v/>
      </c>
      <c r="M67" s="202" t="str">
        <f>IF(L67="","",VLOOKUP(L67,liste!$A$9:$H$145,2,FALSE))</f>
        <v/>
      </c>
      <c r="N67" s="179"/>
      <c r="O67" s="143"/>
      <c r="P67" s="184"/>
      <c r="Q67" s="139"/>
      <c r="R67" s="155"/>
      <c r="S67" s="139"/>
      <c r="T67" s="139"/>
      <c r="U67" s="182"/>
      <c r="V67" s="139"/>
      <c r="W67" s="139"/>
      <c r="X67" s="139"/>
      <c r="Y67" s="139"/>
      <c r="Z67" s="139"/>
      <c r="AA67" s="170"/>
      <c r="AB67" s="168"/>
      <c r="AC67" s="139"/>
      <c r="AD67" s="139"/>
      <c r="AE67" s="139"/>
      <c r="AF67" s="139"/>
      <c r="AG67" s="152"/>
      <c r="AH67" s="139"/>
      <c r="AI67" s="139"/>
      <c r="AJ67" s="139"/>
      <c r="AK67" s="139"/>
      <c r="AL67" s="181" t="s">
        <v>125</v>
      </c>
      <c r="AM67" s="221" t="str">
        <f>IF(AL24="","",IF(AL24=AG21,AG27,IF(AL24=AG27,AG21)))</f>
        <v/>
      </c>
      <c r="AN67" s="203" t="str">
        <f>IF(AM67="","",VLOOKUP(AM67,liste!$A$9:$H$145,2,FALSE))</f>
        <v/>
      </c>
      <c r="AO67" s="144"/>
      <c r="AP67" s="144"/>
      <c r="AQ67" s="153"/>
      <c r="AR67" s="139"/>
      <c r="AS67" s="136"/>
      <c r="AT67" s="139"/>
      <c r="AU67" s="139"/>
      <c r="AV67" s="152"/>
      <c r="AW67" s="136"/>
      <c r="AX67" s="139"/>
      <c r="AY67" s="139"/>
      <c r="AZ67" s="170"/>
      <c r="BB67" s="386">
        <v>28</v>
      </c>
      <c r="BC67" s="965" t="str">
        <f>IF(BC66="","",IF(V93=W91,W95,IF(V93=W95,W91)))</f>
        <v/>
      </c>
      <c r="BD67" s="966"/>
    </row>
    <row r="68" spans="1:56" ht="19.5" customHeight="1" x14ac:dyDescent="0.25">
      <c r="A68" s="228"/>
      <c r="B68" s="202" t="str">
        <f>IF(A68="","",VLOOKUP(A68,liste!$A$9:$H$145,2,FALSE))</f>
        <v/>
      </c>
      <c r="C68" s="143"/>
      <c r="D68" s="143"/>
      <c r="E68" s="147"/>
      <c r="F68" s="742"/>
      <c r="G68" s="742" t="str">
        <f>IF(TF="n","","T."&amp;Rens!G58)</f>
        <v/>
      </c>
      <c r="H68" s="139"/>
      <c r="I68" s="743"/>
      <c r="J68" s="134"/>
      <c r="K68" s="139"/>
      <c r="L68" s="139"/>
      <c r="M68" s="155"/>
      <c r="N68" s="139"/>
      <c r="O68" s="139"/>
      <c r="P68" s="133"/>
      <c r="Q68" s="139"/>
      <c r="R68" s="155"/>
      <c r="S68" s="139"/>
      <c r="T68" s="742" t="str">
        <f>IF(TF="n","","T."&amp;Rens!G57)</f>
        <v/>
      </c>
      <c r="U68" s="182"/>
      <c r="V68" s="207"/>
      <c r="W68" s="202" t="str">
        <f>IF(V68="","",VLOOKUP(V68,liste!$A$9:$H$145,2,FALSE))</f>
        <v/>
      </c>
      <c r="X68" s="143"/>
      <c r="Y68" s="143"/>
      <c r="Z68" s="143"/>
      <c r="AA68" s="170"/>
      <c r="AB68" s="168"/>
      <c r="AC68" s="207"/>
      <c r="AD68" s="203" t="str">
        <f>IF(AC68="","",VLOOKUP(AC68,liste!$A$9:$H$145,2,FALSE))</f>
        <v/>
      </c>
      <c r="AE68" s="143"/>
      <c r="AF68" s="143"/>
      <c r="AG68" s="147"/>
      <c r="AH68" s="156"/>
      <c r="AI68" s="741" t="str">
        <f>IF(TF="n","","T."&amp;Rens!K58)</f>
        <v/>
      </c>
      <c r="AJ68" s="139"/>
      <c r="AK68" s="139"/>
      <c r="AL68" s="139"/>
      <c r="AM68" s="139"/>
      <c r="AN68" s="139"/>
      <c r="AO68" s="139"/>
      <c r="AP68" s="139"/>
      <c r="AQ68" s="139"/>
      <c r="AR68" s="139"/>
      <c r="AS68" s="136"/>
      <c r="AT68" s="139"/>
      <c r="AU68" s="741" t="str">
        <f>IF(TF="n","","T."&amp;Rens!K57)</f>
        <v/>
      </c>
      <c r="AV68" s="744"/>
      <c r="AW68" s="213"/>
      <c r="AX68" s="203" t="str">
        <f>IF(AW68="","",VLOOKUP(AW68,liste!$A$9:$H$145,2,FALSE))</f>
        <v/>
      </c>
      <c r="AY68" s="143"/>
      <c r="AZ68" s="170"/>
      <c r="BA68" s="139"/>
      <c r="BB68" s="386">
        <v>29</v>
      </c>
      <c r="BC68" s="965" t="str">
        <f>C83</f>
        <v/>
      </c>
      <c r="BD68" s="966"/>
    </row>
    <row r="69" spans="1:56" ht="19.5" customHeight="1" x14ac:dyDescent="0.25">
      <c r="A69" s="164"/>
      <c r="B69" s="139"/>
      <c r="C69" s="139"/>
      <c r="D69" s="139"/>
      <c r="E69" s="152"/>
      <c r="F69" s="139"/>
      <c r="G69" s="155"/>
      <c r="H69" s="139"/>
      <c r="I69" s="139"/>
      <c r="J69" s="139"/>
      <c r="K69" s="169" t="s">
        <v>126</v>
      </c>
      <c r="L69" s="214" t="str">
        <f>IF(F34="","",IF(F34=K31,K37,IF(F34=K37,K31)))</f>
        <v/>
      </c>
      <c r="M69" s="202" t="str">
        <f>IF(L69="","",VLOOKUP(L69,liste!$A$9:$H$145,2,FALSE))</f>
        <v/>
      </c>
      <c r="N69" s="179"/>
      <c r="O69" s="143"/>
      <c r="P69" s="180"/>
      <c r="Q69" s="139"/>
      <c r="R69" s="155"/>
      <c r="S69" s="139"/>
      <c r="T69" s="139"/>
      <c r="U69" s="182"/>
      <c r="V69" s="139"/>
      <c r="W69" s="139"/>
      <c r="X69" s="139"/>
      <c r="Y69" s="139"/>
      <c r="Z69" s="139"/>
      <c r="AA69" s="170"/>
      <c r="AB69" s="168"/>
      <c r="AC69" s="139"/>
      <c r="AD69" s="139"/>
      <c r="AE69" s="139"/>
      <c r="AF69" s="139"/>
      <c r="AG69" s="152"/>
      <c r="AH69" s="139"/>
      <c r="AI69" s="139"/>
      <c r="AJ69" s="139"/>
      <c r="AK69" s="139"/>
      <c r="AL69" s="181" t="s">
        <v>127</v>
      </c>
      <c r="AM69" s="220" t="str">
        <f>IF(AL34="","",IF(AL34=AG31,AG37,IF(AL34=AG37,AG31)))</f>
        <v/>
      </c>
      <c r="AN69" s="202" t="str">
        <f>IF(AM69="","",VLOOKUP(AM69,liste!$A$9:$H$145,2,FALSE))</f>
        <v/>
      </c>
      <c r="AO69" s="143"/>
      <c r="AP69" s="143"/>
      <c r="AQ69" s="143"/>
      <c r="AR69" s="139"/>
      <c r="AS69" s="136"/>
      <c r="AT69" s="139"/>
      <c r="AU69" s="139"/>
      <c r="AV69" s="152"/>
      <c r="AW69" s="136"/>
      <c r="AX69" s="139"/>
      <c r="AY69" s="139"/>
      <c r="AZ69" s="170"/>
      <c r="BB69" s="386">
        <v>30</v>
      </c>
      <c r="BC69" s="965" t="str">
        <f>IF(BC68="","",IF(C83=C79,C87,IF(C83=C87,C79)))</f>
        <v/>
      </c>
      <c r="BD69" s="966"/>
    </row>
    <row r="70" spans="1:56" ht="19.5" customHeight="1" x14ac:dyDescent="0.25">
      <c r="A70" s="164"/>
      <c r="B70" s="139"/>
      <c r="C70" s="139"/>
      <c r="D70" s="139"/>
      <c r="E70" s="152"/>
      <c r="F70" s="214" t="str">
        <f>IF(Q70="","",IF(Q70=L69,L71,IF(Q70=L71,L69)))</f>
        <v/>
      </c>
      <c r="G70" s="202" t="str">
        <f>IF(F70="","",VLOOKUP(F70,liste!$A$9:$H$145,2,FALSE))</f>
        <v/>
      </c>
      <c r="H70" s="143"/>
      <c r="I70" s="143"/>
      <c r="J70" s="147"/>
      <c r="K70" s="139"/>
      <c r="L70" s="139"/>
      <c r="M70" s="155"/>
      <c r="N70" s="139"/>
      <c r="O70" s="745" t="str">
        <f>IF(TF="n","","T."&amp;Rens!G45)</f>
        <v/>
      </c>
      <c r="P70" s="182"/>
      <c r="Q70" s="207"/>
      <c r="R70" s="202" t="str">
        <f>IF(Q70="","",VLOOKUP(Q70,liste!$A$9:$H$145,2,FALSE))</f>
        <v/>
      </c>
      <c r="S70" s="143"/>
      <c r="T70" s="143"/>
      <c r="U70" s="184"/>
      <c r="V70" s="139"/>
      <c r="W70" s="139"/>
      <c r="X70" s="139"/>
      <c r="Y70" s="139"/>
      <c r="Z70" s="139"/>
      <c r="AA70" s="170"/>
      <c r="AB70" s="168"/>
      <c r="AC70" s="139"/>
      <c r="AD70" s="139"/>
      <c r="AE70" s="139"/>
      <c r="AF70" s="139"/>
      <c r="AG70" s="152"/>
      <c r="AH70" s="219" t="str">
        <f>IF(AR70="","",IF(AR70=AM69,AM71,IF(AR70=AM71,AM69)))</f>
        <v/>
      </c>
      <c r="AI70" s="203" t="str">
        <f>IF(AH70="","",VLOOKUP(AH70,liste!$A$9:$H$145,2,FALSE))</f>
        <v/>
      </c>
      <c r="AJ70" s="143"/>
      <c r="AK70" s="143"/>
      <c r="AL70" s="147"/>
      <c r="AM70" s="156"/>
      <c r="AN70" s="139"/>
      <c r="AO70" s="740"/>
      <c r="AP70" s="741" t="str">
        <f>IF(TF="n","","T."&amp;Rens!K45)</f>
        <v/>
      </c>
      <c r="AQ70" s="152"/>
      <c r="AR70" s="207"/>
      <c r="AS70" s="203" t="str">
        <f>IF(AR70="","",VLOOKUP(AR70,liste!$A$9:$H$145,2,FALSE))</f>
        <v/>
      </c>
      <c r="AT70" s="143"/>
      <c r="AU70" s="143"/>
      <c r="AV70" s="147"/>
      <c r="AW70" s="136"/>
      <c r="AX70" s="139"/>
      <c r="AY70" s="139"/>
      <c r="AZ70" s="170"/>
      <c r="BB70" s="386">
        <v>31</v>
      </c>
      <c r="BC70" s="965" t="str">
        <f>C93</f>
        <v/>
      </c>
      <c r="BD70" s="966"/>
    </row>
    <row r="71" spans="1:56" ht="19.5" customHeight="1" x14ac:dyDescent="0.25">
      <c r="A71" s="164"/>
      <c r="B71" s="139"/>
      <c r="C71" s="139"/>
      <c r="D71" s="139"/>
      <c r="E71" s="139"/>
      <c r="F71" s="139"/>
      <c r="G71" s="139"/>
      <c r="H71" s="139"/>
      <c r="I71" s="139"/>
      <c r="J71" s="152"/>
      <c r="K71" s="183" t="s">
        <v>128</v>
      </c>
      <c r="L71" s="214" t="str">
        <f>IF(F44="","",IF(F44=K41,K47,IF(F44=K47,K41)))</f>
        <v/>
      </c>
      <c r="M71" s="202" t="str">
        <f>IF(L71="","",VLOOKUP(L71,liste!$A$9:$H$145,2,FALSE))</f>
        <v/>
      </c>
      <c r="N71" s="179"/>
      <c r="O71" s="143"/>
      <c r="P71" s="184"/>
      <c r="Q71" s="139"/>
      <c r="R71" s="155"/>
      <c r="S71" s="139"/>
      <c r="T71" s="139"/>
      <c r="U71" s="133"/>
      <c r="V71" s="139"/>
      <c r="W71" s="139"/>
      <c r="X71" s="139"/>
      <c r="Y71" s="139"/>
      <c r="Z71" s="139"/>
      <c r="AA71" s="170"/>
      <c r="AB71" s="168"/>
      <c r="AC71" s="139"/>
      <c r="AD71" s="139"/>
      <c r="AE71" s="139"/>
      <c r="AF71" s="139"/>
      <c r="AG71" s="139"/>
      <c r="AH71" s="139"/>
      <c r="AI71" s="139"/>
      <c r="AJ71" s="139"/>
      <c r="AK71" s="139"/>
      <c r="AL71" s="181" t="s">
        <v>129</v>
      </c>
      <c r="AM71" s="221" t="str">
        <f>IF(AL44="","",IF(AL44=AG41,AG47,IF(AL44=AG47,AG41)))</f>
        <v/>
      </c>
      <c r="AN71" s="203" t="str">
        <f>IF(AM71="","",VLOOKUP(AM71,liste!$A$9:$H$145,2,FALSE))</f>
        <v/>
      </c>
      <c r="AO71" s="143"/>
      <c r="AP71" s="203"/>
      <c r="AQ71" s="147"/>
      <c r="AR71" s="139"/>
      <c r="AS71" s="136"/>
      <c r="AT71" s="139"/>
      <c r="AU71" s="139"/>
      <c r="AV71" s="139"/>
      <c r="AW71" s="139"/>
      <c r="AX71" s="139"/>
      <c r="AY71" s="139"/>
      <c r="AZ71" s="170"/>
      <c r="BB71" s="386">
        <v>32</v>
      </c>
      <c r="BC71" s="965" t="str">
        <f>IF(BC70="","",IF(C93=C91,C95,IF(C93=C95,C91)))</f>
        <v/>
      </c>
      <c r="BD71" s="966"/>
    </row>
    <row r="72" spans="1:56" ht="19.5" customHeight="1" thickBot="1" x14ac:dyDescent="0.3">
      <c r="A72" s="172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4"/>
      <c r="Q72" s="173"/>
      <c r="R72" s="173"/>
      <c r="S72" s="173"/>
      <c r="T72" s="173"/>
      <c r="U72" s="174"/>
      <c r="V72" s="173"/>
      <c r="W72" s="173"/>
      <c r="X72" s="173"/>
      <c r="Y72" s="173"/>
      <c r="Z72" s="173"/>
      <c r="AA72" s="178"/>
      <c r="AB72" s="177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8"/>
    </row>
    <row r="73" spans="1:56" ht="19.5" customHeight="1" thickTop="1" x14ac:dyDescent="0.3">
      <c r="A73" s="970" t="s">
        <v>130</v>
      </c>
      <c r="B73" s="971"/>
      <c r="C73" s="971"/>
      <c r="D73" s="971"/>
      <c r="E73" s="971"/>
      <c r="F73" s="971"/>
      <c r="G73" s="971"/>
      <c r="H73" s="971"/>
      <c r="I73" s="971"/>
      <c r="J73" s="971"/>
      <c r="K73" s="971"/>
      <c r="L73" s="971"/>
      <c r="M73" s="971"/>
      <c r="N73" s="971"/>
      <c r="O73" s="971"/>
      <c r="P73" s="971"/>
      <c r="Q73" s="971"/>
      <c r="R73" s="971"/>
      <c r="S73" s="971"/>
      <c r="T73" s="971"/>
      <c r="U73" s="971"/>
      <c r="V73" s="971"/>
      <c r="W73" s="971"/>
      <c r="X73" s="971"/>
      <c r="Y73" s="971"/>
      <c r="Z73" s="971"/>
      <c r="AA73" s="972"/>
      <c r="AB73" s="970" t="s">
        <v>131</v>
      </c>
      <c r="AC73" s="971"/>
      <c r="AD73" s="971"/>
      <c r="AE73" s="971"/>
      <c r="AF73" s="971"/>
      <c r="AG73" s="971"/>
      <c r="AH73" s="971"/>
      <c r="AI73" s="971"/>
      <c r="AJ73" s="971"/>
      <c r="AK73" s="971"/>
      <c r="AL73" s="971"/>
      <c r="AM73" s="971"/>
      <c r="AN73" s="971"/>
      <c r="AO73" s="971"/>
      <c r="AP73" s="971"/>
      <c r="AQ73" s="971"/>
      <c r="AR73" s="971"/>
      <c r="AS73" s="971"/>
      <c r="AT73" s="971"/>
      <c r="AU73" s="971"/>
      <c r="AV73" s="971"/>
      <c r="AW73" s="971"/>
      <c r="AX73" s="971"/>
      <c r="AY73" s="971"/>
      <c r="AZ73" s="972"/>
    </row>
    <row r="74" spans="1:56" ht="19.5" customHeight="1" x14ac:dyDescent="0.3">
      <c r="A74" s="229" t="s">
        <v>259</v>
      </c>
      <c r="B74" s="217"/>
      <c r="C74" s="205"/>
      <c r="D74" s="205"/>
      <c r="E74" s="205"/>
      <c r="F74" s="217" t="s">
        <v>223</v>
      </c>
      <c r="G74" s="205"/>
      <c r="H74" s="205"/>
      <c r="I74" s="205"/>
      <c r="J74" s="205"/>
      <c r="K74" s="205"/>
      <c r="L74" s="217" t="s">
        <v>198</v>
      </c>
      <c r="M74" s="205"/>
      <c r="N74" s="205"/>
      <c r="O74" s="205"/>
      <c r="P74" s="205"/>
      <c r="Q74" s="217" t="s">
        <v>222</v>
      </c>
      <c r="R74" s="205"/>
      <c r="S74" s="205"/>
      <c r="T74" s="205"/>
      <c r="U74" s="205"/>
      <c r="V74" s="217" t="s">
        <v>257</v>
      </c>
      <c r="W74" s="205"/>
      <c r="X74" s="205"/>
      <c r="Y74" s="205"/>
      <c r="Z74" s="205"/>
      <c r="AA74" s="206"/>
      <c r="AB74" s="222" t="s">
        <v>266</v>
      </c>
      <c r="AC74" s="222"/>
      <c r="AD74" s="222"/>
      <c r="AE74" s="222"/>
      <c r="AF74" s="222"/>
      <c r="AG74" s="222"/>
      <c r="AH74" s="222" t="s">
        <v>230</v>
      </c>
      <c r="AI74" s="222"/>
      <c r="AJ74" s="222"/>
      <c r="AK74" s="222"/>
      <c r="AL74" s="222"/>
      <c r="AM74" s="222" t="s">
        <v>208</v>
      </c>
      <c r="AN74" s="222"/>
      <c r="AO74" s="222"/>
      <c r="AP74" s="222"/>
      <c r="AQ74" s="222"/>
      <c r="AR74" s="222" t="s">
        <v>233</v>
      </c>
      <c r="AS74" s="222"/>
      <c r="AT74" s="222"/>
      <c r="AU74" s="222"/>
      <c r="AV74" s="222"/>
      <c r="AW74" s="222" t="s">
        <v>264</v>
      </c>
      <c r="AX74" s="222"/>
      <c r="AY74" s="222"/>
      <c r="AZ74" s="223"/>
    </row>
    <row r="75" spans="1:56" ht="19.5" customHeight="1" x14ac:dyDescent="0.25">
      <c r="A75" s="961">
        <f>Rens!F60</f>
        <v>0</v>
      </c>
      <c r="B75" s="962"/>
      <c r="C75" s="962"/>
      <c r="D75" s="962"/>
      <c r="E75" s="962"/>
      <c r="F75" s="963">
        <f>Rens!F50</f>
        <v>0</v>
      </c>
      <c r="G75" s="964"/>
      <c r="H75" s="964"/>
      <c r="I75" s="964"/>
      <c r="J75" s="964"/>
      <c r="K75" s="963">
        <f>K8</f>
        <v>0</v>
      </c>
      <c r="L75" s="963"/>
      <c r="M75" s="963"/>
      <c r="N75" s="963"/>
      <c r="O75" s="963"/>
      <c r="P75" s="963"/>
      <c r="Q75" s="963">
        <f>Rens!F47</f>
        <v>0</v>
      </c>
      <c r="R75" s="964"/>
      <c r="S75" s="964"/>
      <c r="T75" s="964"/>
      <c r="U75" s="964"/>
      <c r="V75" s="963">
        <f>Rens!F59</f>
        <v>0</v>
      </c>
      <c r="W75" s="964"/>
      <c r="X75" s="964"/>
      <c r="Y75" s="964"/>
      <c r="Z75" s="964"/>
      <c r="AA75" s="170"/>
      <c r="AB75" s="168"/>
      <c r="AC75" s="963">
        <f>Rens!J60</f>
        <v>0</v>
      </c>
      <c r="AD75" s="964"/>
      <c r="AE75" s="964"/>
      <c r="AF75" s="964"/>
      <c r="AG75" s="964"/>
      <c r="AH75" s="963">
        <f>Rens!J50</f>
        <v>0</v>
      </c>
      <c r="AI75" s="964"/>
      <c r="AJ75" s="964"/>
      <c r="AK75" s="964"/>
      <c r="AL75" s="964"/>
      <c r="AM75" s="963">
        <f>AG8</f>
        <v>0</v>
      </c>
      <c r="AN75" s="964"/>
      <c r="AO75" s="964"/>
      <c r="AP75" s="964"/>
      <c r="AQ75" s="964"/>
      <c r="AR75" s="963">
        <f>Rens!J47</f>
        <v>0</v>
      </c>
      <c r="AS75" s="964"/>
      <c r="AT75" s="964"/>
      <c r="AU75" s="964"/>
      <c r="AV75" s="964"/>
      <c r="AW75" s="963">
        <f>Rens!J59</f>
        <v>0</v>
      </c>
      <c r="AX75" s="964"/>
      <c r="AY75" s="964"/>
      <c r="AZ75" s="170"/>
    </row>
    <row r="76" spans="1:56" ht="19.5" customHeight="1" x14ac:dyDescent="0.25">
      <c r="A76" s="164"/>
      <c r="B76" s="139"/>
      <c r="C76" s="139"/>
      <c r="D76" s="139"/>
      <c r="E76" s="139"/>
      <c r="F76" s="139"/>
      <c r="G76" s="139"/>
      <c r="H76" s="139"/>
      <c r="I76" s="139"/>
      <c r="J76" s="139"/>
      <c r="K76" s="169" t="s">
        <v>132</v>
      </c>
      <c r="L76" s="214" t="str">
        <f>IF(K11="","",IF(K11=P10,P12,IF(K11=P12,P10)))</f>
        <v/>
      </c>
      <c r="M76" s="202" t="str">
        <f>IF(L76="","",VLOOKUP(L76,liste!$A$9:$H$145,2,FALSE))</f>
        <v/>
      </c>
      <c r="N76" s="185"/>
      <c r="O76" s="158"/>
      <c r="P76" s="180"/>
      <c r="Q76" s="139"/>
      <c r="R76" s="139"/>
      <c r="S76" s="139"/>
      <c r="T76" s="139"/>
      <c r="U76" s="133"/>
      <c r="V76" s="139"/>
      <c r="W76" s="139"/>
      <c r="X76" s="139"/>
      <c r="Y76" s="139"/>
      <c r="Z76" s="139"/>
      <c r="AA76" s="170"/>
      <c r="AB76" s="168"/>
      <c r="AC76" s="139"/>
      <c r="AD76" s="139"/>
      <c r="AE76" s="139"/>
      <c r="AF76" s="139"/>
      <c r="AG76" s="139"/>
      <c r="AH76" s="212"/>
      <c r="AI76" s="139"/>
      <c r="AJ76" s="139"/>
      <c r="AK76" s="139"/>
      <c r="AL76" s="181" t="s">
        <v>133</v>
      </c>
      <c r="AM76" s="214" t="str">
        <f>IF(AG11="","",IF(AG11=AB10,AB12,IF(AG11=AB12,AB10)))</f>
        <v/>
      </c>
      <c r="AN76" s="203" t="str">
        <f>IF(AM76="","",VLOOKUP(AM76,liste!$A$9:$H$145,2,FALSE))</f>
        <v/>
      </c>
      <c r="AO76" s="158"/>
      <c r="AP76" s="151"/>
      <c r="AQ76" s="151"/>
      <c r="AR76" s="139"/>
      <c r="AS76" s="139"/>
      <c r="AT76" s="139"/>
      <c r="AU76" s="139"/>
      <c r="AV76" s="139"/>
      <c r="AW76" s="139"/>
      <c r="AX76" s="139"/>
      <c r="AY76" s="139"/>
      <c r="AZ76" s="170"/>
    </row>
    <row r="77" spans="1:56" ht="19.5" customHeight="1" x14ac:dyDescent="0.25">
      <c r="A77" s="164"/>
      <c r="B77" s="139"/>
      <c r="C77" s="139"/>
      <c r="D77" s="139"/>
      <c r="E77" s="139"/>
      <c r="F77" s="214">
        <v>25</v>
      </c>
      <c r="G77" s="202" t="str">
        <f>IF(F77="","",VLOOKUP(F77,liste!$A$9:$H$145,2,FALSE))</f>
        <v>LECOMTE Erwan</v>
      </c>
      <c r="H77" s="151"/>
      <c r="I77" s="151"/>
      <c r="J77" s="162"/>
      <c r="K77" s="139"/>
      <c r="L77" s="139"/>
      <c r="M77" s="155"/>
      <c r="N77" s="139"/>
      <c r="O77" s="745" t="str">
        <f>IF(TF="n","","T."&amp;Rens!G34)</f>
        <v/>
      </c>
      <c r="P77" s="182"/>
      <c r="Q77" s="209"/>
      <c r="R77" s="202" t="str">
        <f>IF(Q77="","",VLOOKUP(Q77,liste!$A$9:$H$145,2,FALSE))</f>
        <v/>
      </c>
      <c r="S77" s="151"/>
      <c r="T77" s="151"/>
      <c r="U77" s="180"/>
      <c r="V77" s="139"/>
      <c r="W77" s="139"/>
      <c r="X77" s="139"/>
      <c r="Y77" s="139"/>
      <c r="Z77" s="139"/>
      <c r="AA77" s="170"/>
      <c r="AB77" s="168"/>
      <c r="AC77" s="139"/>
      <c r="AD77" s="139"/>
      <c r="AE77" s="139"/>
      <c r="AF77" s="139"/>
      <c r="AG77" s="139"/>
      <c r="AH77" s="219" t="str">
        <f>IF(AR77="","",IF(AR77=AM76,AM78,IF(AR77=AM78,AM76)))</f>
        <v/>
      </c>
      <c r="AI77" s="203" t="str">
        <f>IF(AH77="","",VLOOKUP(AH77,liste!$A$9:$H$145,2,FALSE))</f>
        <v/>
      </c>
      <c r="AJ77" s="151"/>
      <c r="AK77" s="151"/>
      <c r="AL77" s="162"/>
      <c r="AM77" s="139"/>
      <c r="AN77" s="139"/>
      <c r="AO77" s="740"/>
      <c r="AP77" s="746" t="str">
        <f>IF(TF="n","","T."&amp;Rens!K34)</f>
        <v/>
      </c>
      <c r="AQ77" s="747"/>
      <c r="AR77" s="207"/>
      <c r="AS77" s="203" t="str">
        <f>IF(AR77="","",VLOOKUP(AR77,liste!$A$9:$H$145,2,FALSE))</f>
        <v/>
      </c>
      <c r="AT77" s="186"/>
      <c r="AU77" s="151"/>
      <c r="AV77" s="151"/>
      <c r="AW77" s="139"/>
      <c r="AX77" s="136"/>
      <c r="AY77" s="136"/>
      <c r="AZ77" s="170"/>
    </row>
    <row r="78" spans="1:56" ht="19.5" customHeight="1" x14ac:dyDescent="0.25">
      <c r="A78" s="164"/>
      <c r="B78" s="139"/>
      <c r="C78" s="139"/>
      <c r="D78" s="139"/>
      <c r="E78" s="152"/>
      <c r="F78" s="139"/>
      <c r="G78" s="139"/>
      <c r="H78" s="139"/>
      <c r="I78" s="139"/>
      <c r="J78" s="152"/>
      <c r="K78" s="169" t="s">
        <v>134</v>
      </c>
      <c r="L78" s="214" t="str">
        <f>IF(K17="","",IF(K17=P16,P18,IF(K17=P18,P16)))</f>
        <v/>
      </c>
      <c r="M78" s="202" t="str">
        <f>IF(L78="","",VLOOKUP(L78,liste!$A$9:$H$145,2,FALSE))</f>
        <v/>
      </c>
      <c r="N78" s="185"/>
      <c r="O78" s="158"/>
      <c r="P78" s="184"/>
      <c r="Q78" s="139"/>
      <c r="R78" s="155"/>
      <c r="S78" s="139"/>
      <c r="T78" s="139"/>
      <c r="U78" s="182"/>
      <c r="V78" s="139"/>
      <c r="W78" s="139"/>
      <c r="X78" s="139"/>
      <c r="Y78" s="139"/>
      <c r="Z78" s="139"/>
      <c r="AA78" s="170"/>
      <c r="AB78" s="168"/>
      <c r="AC78" s="139"/>
      <c r="AD78" s="139"/>
      <c r="AE78" s="139"/>
      <c r="AF78" s="139"/>
      <c r="AG78" s="152"/>
      <c r="AH78" s="139"/>
      <c r="AI78" s="139"/>
      <c r="AJ78" s="139"/>
      <c r="AK78" s="139"/>
      <c r="AL78" s="181" t="s">
        <v>135</v>
      </c>
      <c r="AM78" s="215" t="str">
        <f>IF(AG17="","",IF(AG17=AB16,AB18,IF(AG17=AB18,AB16)))</f>
        <v/>
      </c>
      <c r="AN78" s="203" t="str">
        <f>IF(AM78="","",VLOOKUP(AM78,liste!$A$9:$H$145,2,FALSE))</f>
        <v/>
      </c>
      <c r="AO78" s="158"/>
      <c r="AP78" s="151"/>
      <c r="AQ78" s="161"/>
      <c r="AR78" s="139"/>
      <c r="AS78" s="139"/>
      <c r="AT78" s="136"/>
      <c r="AU78" s="139"/>
      <c r="AV78" s="152"/>
      <c r="AW78" s="212"/>
      <c r="AX78" s="204"/>
      <c r="AY78" s="136"/>
      <c r="AZ78" s="170"/>
    </row>
    <row r="79" spans="1:56" ht="19.5" customHeight="1" x14ac:dyDescent="0.25">
      <c r="A79" s="164"/>
      <c r="B79" s="207"/>
      <c r="C79" s="202" t="str">
        <f>IF(B79="","",VLOOKUP(B79,liste!$A$9:$H$145,2,FALSE))</f>
        <v/>
      </c>
      <c r="D79" s="151"/>
      <c r="E79" s="162"/>
      <c r="F79" s="139" t="s">
        <v>136</v>
      </c>
      <c r="G79" s="742" t="str">
        <f>IF(TF="n","","T."&amp;Rens!G50)</f>
        <v/>
      </c>
      <c r="H79" s="139"/>
      <c r="I79" s="743"/>
      <c r="J79" s="134"/>
      <c r="K79" s="139"/>
      <c r="L79" s="139"/>
      <c r="M79" s="155"/>
      <c r="N79" s="139"/>
      <c r="O79" s="139"/>
      <c r="P79" s="133"/>
      <c r="Q79" s="139"/>
      <c r="R79" s="155"/>
      <c r="S79" s="139"/>
      <c r="T79" s="745" t="str">
        <f>IF(TF="n","","T."&amp;Rens!G47)</f>
        <v/>
      </c>
      <c r="U79" s="182" t="s">
        <v>137</v>
      </c>
      <c r="V79" s="210"/>
      <c r="W79" s="202" t="str">
        <f>IF(V79="","",VLOOKUP(V79,liste!$A$9:$H$145,2,FALSE))</f>
        <v/>
      </c>
      <c r="X79" s="143"/>
      <c r="Y79" s="143"/>
      <c r="Z79" s="143"/>
      <c r="AA79" s="170"/>
      <c r="AB79" s="168"/>
      <c r="AC79" s="207"/>
      <c r="AD79" s="203" t="str">
        <f>IF(AC79="","",VLOOKUP(AC79,liste!$A$9:$H$145,2,FALSE))</f>
        <v/>
      </c>
      <c r="AE79" s="186"/>
      <c r="AF79" s="151"/>
      <c r="AG79" s="162"/>
      <c r="AH79" s="224" t="s">
        <v>138</v>
      </c>
      <c r="AI79" s="738" t="str">
        <f>IF(TF="n","","T."&amp;Rens!K50)</f>
        <v/>
      </c>
      <c r="AJ79" s="741"/>
      <c r="AK79" s="139"/>
      <c r="AL79" s="139"/>
      <c r="AM79" s="139"/>
      <c r="AN79" s="139"/>
      <c r="AO79" s="139"/>
      <c r="AP79" s="139"/>
      <c r="AQ79" s="139"/>
      <c r="AR79" s="139"/>
      <c r="AS79" s="739"/>
      <c r="AT79" s="136"/>
      <c r="AU79" s="741" t="str">
        <f>IF(TF="n","","T."&amp;Rens!K47)</f>
        <v/>
      </c>
      <c r="AV79" s="149" t="s">
        <v>139</v>
      </c>
      <c r="AW79" s="207"/>
      <c r="AX79" s="203" t="str">
        <f>IF(AW79="","",VLOOKUP(AW79,liste!$A$9:$H$145,2,FALSE))</f>
        <v/>
      </c>
      <c r="AY79" s="151"/>
      <c r="AZ79" s="170"/>
    </row>
    <row r="80" spans="1:56" ht="19.5" customHeight="1" x14ac:dyDescent="0.25">
      <c r="A80" s="164"/>
      <c r="B80" s="154"/>
      <c r="C80" s="159"/>
      <c r="D80" s="139"/>
      <c r="E80" s="152"/>
      <c r="F80" s="139"/>
      <c r="G80" s="139"/>
      <c r="H80" s="139"/>
      <c r="I80" s="139"/>
      <c r="J80" s="139"/>
      <c r="K80" s="169" t="s">
        <v>140</v>
      </c>
      <c r="L80" s="214" t="str">
        <f>IF(K21="","",IF(K21=P20,P22,IF(K21=P22,P20)))</f>
        <v/>
      </c>
      <c r="M80" s="202" t="str">
        <f>IF(L80="","",VLOOKUP(L80,liste!$A$9:$H$145,2,FALSE))</f>
        <v/>
      </c>
      <c r="N80" s="169"/>
      <c r="O80" s="158"/>
      <c r="P80" s="180"/>
      <c r="Q80" s="139"/>
      <c r="R80" s="155"/>
      <c r="S80" s="139"/>
      <c r="T80" s="139"/>
      <c r="U80" s="182"/>
      <c r="V80" s="139"/>
      <c r="W80" s="139"/>
      <c r="X80" s="139"/>
      <c r="Y80" s="139"/>
      <c r="Z80" s="152"/>
      <c r="AA80" s="170"/>
      <c r="AB80" s="168"/>
      <c r="AC80" s="154"/>
      <c r="AD80" s="139"/>
      <c r="AE80" s="136"/>
      <c r="AF80" s="139"/>
      <c r="AG80" s="152"/>
      <c r="AH80" s="139"/>
      <c r="AI80" s="139"/>
      <c r="AJ80" s="139"/>
      <c r="AK80" s="139"/>
      <c r="AL80" s="181" t="s">
        <v>141</v>
      </c>
      <c r="AM80" s="214" t="str">
        <f>IF(AG21="","",IF(AG21=AB20,AB22,IF(AG21=AB22,AB20)))</f>
        <v/>
      </c>
      <c r="AN80" s="203" t="str">
        <f>IF(AM80="","",VLOOKUP(AM80,liste!$A$9:$H$145,2,FALSE))</f>
        <v/>
      </c>
      <c r="AO80" s="158"/>
      <c r="AP80" s="151"/>
      <c r="AQ80" s="151"/>
      <c r="AR80" s="139"/>
      <c r="AS80" s="139"/>
      <c r="AT80" s="136"/>
      <c r="AU80" s="139"/>
      <c r="AV80" s="152"/>
      <c r="AW80" s="139"/>
      <c r="AX80" s="136"/>
      <c r="AY80" s="152"/>
      <c r="AZ80" s="170"/>
    </row>
    <row r="81" spans="1:52" ht="19.5" customHeight="1" x14ac:dyDescent="0.25">
      <c r="A81" s="164"/>
      <c r="B81" s="154"/>
      <c r="C81" s="159"/>
      <c r="D81" s="139"/>
      <c r="E81" s="152"/>
      <c r="F81" s="214">
        <v>32</v>
      </c>
      <c r="G81" s="202">
        <f>IF(F81="","",VLOOKUP(F81,liste!$A$9:$H$145,2,FALSE))</f>
        <v>0</v>
      </c>
      <c r="H81" s="151"/>
      <c r="I81" s="151"/>
      <c r="J81" s="162"/>
      <c r="K81" s="139"/>
      <c r="L81" s="139"/>
      <c r="M81" s="155"/>
      <c r="N81" s="139"/>
      <c r="O81" s="745" t="str">
        <f>IF(TF="n","","T."&amp;Rens!G35)</f>
        <v/>
      </c>
      <c r="P81" s="182"/>
      <c r="Q81" s="209"/>
      <c r="R81" s="202" t="str">
        <f>IF(Q81="","",VLOOKUP(Q81,liste!$A$9:$H$145,2,FALSE))</f>
        <v/>
      </c>
      <c r="S81" s="143"/>
      <c r="T81" s="143"/>
      <c r="U81" s="184"/>
      <c r="V81" s="139"/>
      <c r="W81" s="139"/>
      <c r="X81" s="139"/>
      <c r="Y81" s="139"/>
      <c r="Z81" s="152"/>
      <c r="AA81" s="170"/>
      <c r="AB81" s="168"/>
      <c r="AC81" s="154"/>
      <c r="AD81" s="139"/>
      <c r="AE81" s="136"/>
      <c r="AF81" s="139"/>
      <c r="AG81" s="152"/>
      <c r="AH81" s="219" t="str">
        <f>IF(AR81="","",IF(AR81=AM80,AM82,IF(AR81=AM82,AM80)))</f>
        <v/>
      </c>
      <c r="AI81" s="203" t="str">
        <f>IF(AH81="","",VLOOKUP(AH81,liste!$A$9:$H$145,2,FALSE))</f>
        <v/>
      </c>
      <c r="AJ81" s="151"/>
      <c r="AK81" s="151"/>
      <c r="AL81" s="162"/>
      <c r="AM81" s="139"/>
      <c r="AN81" s="139"/>
      <c r="AO81" s="740"/>
      <c r="AP81" s="746" t="str">
        <f>IF(TF="n","","T."&amp;Rens!K35)</f>
        <v/>
      </c>
      <c r="AQ81" s="152"/>
      <c r="AR81" s="207"/>
      <c r="AS81" s="203" t="str">
        <f>IF(AR81="","",VLOOKUP(AR81,liste!$A$9:$H$145,2,FALSE))</f>
        <v/>
      </c>
      <c r="AT81" s="186"/>
      <c r="AU81" s="151"/>
      <c r="AV81" s="161"/>
      <c r="AW81" s="139"/>
      <c r="AX81" s="136"/>
      <c r="AY81" s="152"/>
      <c r="AZ81" s="170"/>
    </row>
    <row r="82" spans="1:52" ht="19.5" customHeight="1" x14ac:dyDescent="0.25">
      <c r="A82" s="164"/>
      <c r="B82" s="154"/>
      <c r="C82" s="159"/>
      <c r="D82" s="139"/>
      <c r="E82" s="139"/>
      <c r="F82" s="139"/>
      <c r="G82" s="139"/>
      <c r="H82" s="139"/>
      <c r="I82" s="139"/>
      <c r="J82" s="152"/>
      <c r="K82" s="169" t="s">
        <v>142</v>
      </c>
      <c r="L82" s="214" t="str">
        <f>IF(K27="","",IF(K27=P26,P28,IF(K27=P28,P26)))</f>
        <v/>
      </c>
      <c r="M82" s="202" t="str">
        <f>IF(L82="","",VLOOKUP(L82,liste!$A$9:$H$145,2,FALSE))</f>
        <v/>
      </c>
      <c r="N82" s="169"/>
      <c r="O82" s="158"/>
      <c r="P82" s="184"/>
      <c r="Q82" s="139"/>
      <c r="R82" s="155"/>
      <c r="S82" s="139"/>
      <c r="T82" s="139"/>
      <c r="U82" s="133"/>
      <c r="V82" s="139"/>
      <c r="W82" s="139"/>
      <c r="X82" s="139"/>
      <c r="Y82" s="139"/>
      <c r="Z82" s="152"/>
      <c r="AA82" s="170"/>
      <c r="AB82" s="168"/>
      <c r="AC82" s="154"/>
      <c r="AD82" s="139"/>
      <c r="AE82" s="136"/>
      <c r="AF82" s="139"/>
      <c r="AG82" s="139"/>
      <c r="AH82" s="139"/>
      <c r="AI82" s="139"/>
      <c r="AJ82" s="139"/>
      <c r="AK82" s="139"/>
      <c r="AL82" s="181" t="s">
        <v>143</v>
      </c>
      <c r="AM82" s="215" t="str">
        <f>IF(AG27="","",IF(AG27=AB26,AB28,IF(AG27=AB28,AB26)))</f>
        <v/>
      </c>
      <c r="AN82" s="203" t="str">
        <f>IF(AM82="","",VLOOKUP(AM82,liste!$A$9:$H$145,2,FALSE))</f>
        <v/>
      </c>
      <c r="AO82" s="158"/>
      <c r="AP82" s="151"/>
      <c r="AQ82" s="161"/>
      <c r="AR82" s="139"/>
      <c r="AS82" s="139"/>
      <c r="AT82" s="136"/>
      <c r="AU82" s="139"/>
      <c r="AV82" s="139"/>
      <c r="AW82" s="139"/>
      <c r="AX82" s="136"/>
      <c r="AY82" s="152"/>
      <c r="AZ82" s="170"/>
    </row>
    <row r="83" spans="1:52" ht="19.5" customHeight="1" x14ac:dyDescent="0.25">
      <c r="A83" s="164"/>
      <c r="B83" s="208"/>
      <c r="C83" s="202" t="str">
        <f>IF(B83="","",VLOOKUP(B83,liste!$A$9:$H$145,2,FALSE))</f>
        <v/>
      </c>
      <c r="D83" s="151"/>
      <c r="E83" s="151"/>
      <c r="F83" s="150"/>
      <c r="G83" s="156"/>
      <c r="H83" s="156"/>
      <c r="I83" s="139"/>
      <c r="J83" s="139"/>
      <c r="K83" s="139"/>
      <c r="L83" s="139"/>
      <c r="M83" s="155"/>
      <c r="N83" s="139"/>
      <c r="O83" s="139"/>
      <c r="P83" s="133"/>
      <c r="Q83" s="139"/>
      <c r="R83" s="155"/>
      <c r="S83" s="139"/>
      <c r="T83" s="139"/>
      <c r="U83" s="210"/>
      <c r="V83" s="202" t="str">
        <f>IF(U83="","",VLOOKUP(U83,liste!$A$9:$H$145,2,FALSE))</f>
        <v/>
      </c>
      <c r="W83" s="143"/>
      <c r="X83" s="143"/>
      <c r="Y83" s="143"/>
      <c r="Z83" s="147"/>
      <c r="AA83" s="170"/>
      <c r="AB83" s="168"/>
      <c r="AC83" s="208"/>
      <c r="AD83" s="203" t="str">
        <f>IF(AC83="","",VLOOKUP(AC83,liste!$A$9:$H$145,2,FALSE))</f>
        <v/>
      </c>
      <c r="AE83" s="186"/>
      <c r="AF83" s="151"/>
      <c r="AG83" s="150"/>
      <c r="AH83" s="156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6"/>
      <c r="AU83" s="139"/>
      <c r="AV83" s="139"/>
      <c r="AW83" s="207"/>
      <c r="AX83" s="203" t="str">
        <f>IF(AW83="","",VLOOKUP(AW83,liste!$A$9:$H$145,2,FALSE))</f>
        <v/>
      </c>
      <c r="AY83" s="161"/>
      <c r="AZ83" s="170"/>
    </row>
    <row r="84" spans="1:52" ht="19.5" customHeight="1" x14ac:dyDescent="0.25">
      <c r="A84" s="164"/>
      <c r="B84" s="154"/>
      <c r="C84" s="159"/>
      <c r="D84" s="139"/>
      <c r="E84" s="139"/>
      <c r="F84" s="139"/>
      <c r="G84" s="139"/>
      <c r="H84" s="139"/>
      <c r="I84" s="139"/>
      <c r="J84" s="139"/>
      <c r="K84" s="169" t="s">
        <v>144</v>
      </c>
      <c r="L84" s="214" t="str">
        <f>IF(K31="","",IF(K31=P30,P32,IF(K31=P32,P30)))</f>
        <v/>
      </c>
      <c r="M84" s="202" t="str">
        <f>IF(L84="","",VLOOKUP(L84,liste!$A$9:$H$145,2,FALSE))</f>
        <v/>
      </c>
      <c r="N84" s="187"/>
      <c r="O84" s="144"/>
      <c r="P84" s="180"/>
      <c r="Q84" s="139"/>
      <c r="R84" s="155"/>
      <c r="S84" s="139"/>
      <c r="T84" s="139"/>
      <c r="U84" s="133"/>
      <c r="V84" s="139"/>
      <c r="W84" s="139"/>
      <c r="X84" s="139"/>
      <c r="Y84" s="139"/>
      <c r="Z84" s="152"/>
      <c r="AA84" s="170"/>
      <c r="AB84" s="168"/>
      <c r="AC84" s="154"/>
      <c r="AD84" s="139"/>
      <c r="AE84" s="136"/>
      <c r="AF84" s="139"/>
      <c r="AG84" s="139"/>
      <c r="AH84" s="139"/>
      <c r="AI84" s="139"/>
      <c r="AJ84" s="139"/>
      <c r="AK84" s="139"/>
      <c r="AL84" s="181" t="s">
        <v>145</v>
      </c>
      <c r="AM84" s="214" t="str">
        <f>IF(AG31="","",IF(AG31=AB30,AB32,IF(AG31=AB32,AB30)))</f>
        <v/>
      </c>
      <c r="AN84" s="203" t="str">
        <f>IF(AM84="","",VLOOKUP(AM84,liste!$A$9:$H$145,2,FALSE))</f>
        <v/>
      </c>
      <c r="AO84" s="158"/>
      <c r="AP84" s="151"/>
      <c r="AQ84" s="151"/>
      <c r="AR84" s="139"/>
      <c r="AS84" s="139"/>
      <c r="AT84" s="136"/>
      <c r="AU84" s="139"/>
      <c r="AV84" s="139"/>
      <c r="AW84" s="139"/>
      <c r="AX84" s="136"/>
      <c r="AY84" s="160"/>
      <c r="AZ84" s="170"/>
    </row>
    <row r="85" spans="1:52" ht="19.5" customHeight="1" x14ac:dyDescent="0.25">
      <c r="A85" s="164"/>
      <c r="B85" s="748"/>
      <c r="C85" s="742" t="str">
        <f>IF(TF="n","","T."&amp;Rens!G61)</f>
        <v/>
      </c>
      <c r="D85" s="188"/>
      <c r="E85" s="139"/>
      <c r="F85" s="214">
        <v>31</v>
      </c>
      <c r="G85" s="202">
        <f>IF(F85="","",VLOOKUP(F85,liste!$A$9:$H$145,2,FALSE))</f>
        <v>0</v>
      </c>
      <c r="H85" s="144"/>
      <c r="I85" s="144"/>
      <c r="J85" s="153"/>
      <c r="K85" s="139"/>
      <c r="L85" s="139"/>
      <c r="M85" s="155"/>
      <c r="N85" s="139"/>
      <c r="O85" s="745" t="str">
        <f>IF(TF="n","","T."&amp;Rens!G36)</f>
        <v/>
      </c>
      <c r="P85" s="182"/>
      <c r="Q85" s="209"/>
      <c r="R85" s="202" t="str">
        <f>IF(Q85="","",VLOOKUP(Q85,liste!$A$9:$H$145,2,FALSE))</f>
        <v/>
      </c>
      <c r="S85" s="144"/>
      <c r="T85" s="144"/>
      <c r="U85" s="180"/>
      <c r="V85" s="139"/>
      <c r="W85" s="139"/>
      <c r="X85" s="139"/>
      <c r="Y85" s="742" t="str">
        <f>IF(TF="n","","T."&amp;Rens!G59)</f>
        <v/>
      </c>
      <c r="Z85" s="152"/>
      <c r="AA85" s="170"/>
      <c r="AB85" s="168"/>
      <c r="AC85" s="154"/>
      <c r="AD85" s="741" t="str">
        <f>IF(TF="n","","T."&amp;Rens!K60)</f>
        <v/>
      </c>
      <c r="AE85" s="136"/>
      <c r="AF85" s="139"/>
      <c r="AG85" s="139"/>
      <c r="AH85" s="219" t="str">
        <f>IF(AR85="","",IF(AR85=AM84,AM86,IF(AR85=AM86,AM84)))</f>
        <v/>
      </c>
      <c r="AI85" s="203" t="str">
        <f>IF(AH85="","",VLOOKUP(AH85,liste!$A$9:$H$145,2,FALSE))</f>
        <v/>
      </c>
      <c r="AJ85" s="151"/>
      <c r="AK85" s="151"/>
      <c r="AL85" s="162"/>
      <c r="AM85" s="139"/>
      <c r="AN85" s="139"/>
      <c r="AO85" s="740"/>
      <c r="AP85" s="741" t="str">
        <f>IF(TF="n","","T."&amp;Rens!K36)</f>
        <v/>
      </c>
      <c r="AQ85" s="152"/>
      <c r="AR85" s="207"/>
      <c r="AS85" s="203" t="str">
        <f>IF(AR85="","",VLOOKUP(AR85,liste!$A$9:$H$145,2,FALSE))</f>
        <v/>
      </c>
      <c r="AT85" s="186"/>
      <c r="AU85" s="151"/>
      <c r="AV85" s="151"/>
      <c r="AW85" s="139"/>
      <c r="AX85" s="136"/>
      <c r="AY85" s="749" t="str">
        <f>IF(TF="n","","T."&amp;Rens!K59)</f>
        <v/>
      </c>
      <c r="AZ85" s="170"/>
    </row>
    <row r="86" spans="1:52" ht="19.5" customHeight="1" x14ac:dyDescent="0.25">
      <c r="A86" s="164"/>
      <c r="B86" s="154"/>
      <c r="C86" s="159"/>
      <c r="D86" s="139"/>
      <c r="E86" s="152"/>
      <c r="F86" s="139"/>
      <c r="G86" s="139"/>
      <c r="H86" s="139"/>
      <c r="I86" s="139"/>
      <c r="J86" s="152"/>
      <c r="K86" s="169" t="s">
        <v>146</v>
      </c>
      <c r="L86" s="214" t="str">
        <f>IF(K37="","",IF(K37=P36,P38,IF(K37=P38,P36)))</f>
        <v/>
      </c>
      <c r="M86" s="202" t="str">
        <f>IF(L86="","",VLOOKUP(L86,liste!$A$9:$H$145,2,FALSE))</f>
        <v/>
      </c>
      <c r="N86" s="187"/>
      <c r="O86" s="144"/>
      <c r="P86" s="184"/>
      <c r="Q86" s="139"/>
      <c r="R86" s="155"/>
      <c r="S86" s="139"/>
      <c r="T86" s="139"/>
      <c r="U86" s="182"/>
      <c r="V86" s="139"/>
      <c r="W86" s="139"/>
      <c r="X86" s="139"/>
      <c r="Y86" s="139"/>
      <c r="Z86" s="152"/>
      <c r="AA86" s="170"/>
      <c r="AB86" s="168"/>
      <c r="AC86" s="154"/>
      <c r="AD86" s="139"/>
      <c r="AE86" s="136"/>
      <c r="AF86" s="139"/>
      <c r="AG86" s="152"/>
      <c r="AH86" s="139"/>
      <c r="AI86" s="139"/>
      <c r="AJ86" s="139"/>
      <c r="AK86" s="139"/>
      <c r="AL86" s="181" t="s">
        <v>147</v>
      </c>
      <c r="AM86" s="215" t="str">
        <f>IF(AG37="","",IF(AG37=AB36,AB38,IF(AG37=AB38,AB36)))</f>
        <v/>
      </c>
      <c r="AN86" s="203" t="str">
        <f>IF(AM86="","",VLOOKUP(AM86,liste!$A$9:$H$145,2,FALSE))</f>
        <v/>
      </c>
      <c r="AO86" s="158"/>
      <c r="AP86" s="151"/>
      <c r="AQ86" s="161"/>
      <c r="AR86" s="139"/>
      <c r="AS86" s="139"/>
      <c r="AT86" s="136"/>
      <c r="AU86" s="139"/>
      <c r="AV86" s="152"/>
      <c r="AW86" s="139"/>
      <c r="AX86" s="136"/>
      <c r="AY86" s="152"/>
      <c r="AZ86" s="170"/>
    </row>
    <row r="87" spans="1:52" ht="19.5" customHeight="1" x14ac:dyDescent="0.25">
      <c r="A87" s="164"/>
      <c r="B87" s="208"/>
      <c r="C87" s="202" t="str">
        <f>IF(B87="","",VLOOKUP(B87,liste!$A$9:$H$145,2,FALSE))</f>
        <v/>
      </c>
      <c r="D87" s="144"/>
      <c r="E87" s="153"/>
      <c r="F87" s="139" t="s">
        <v>148</v>
      </c>
      <c r="G87" s="742" t="str">
        <f>IF(TF="n","","T."&amp;Rens!G51)</f>
        <v/>
      </c>
      <c r="H87" s="139"/>
      <c r="I87" s="743"/>
      <c r="J87" s="134"/>
      <c r="K87" s="139"/>
      <c r="L87" s="139"/>
      <c r="M87" s="155"/>
      <c r="N87" s="139"/>
      <c r="O87" s="139"/>
      <c r="P87" s="133"/>
      <c r="Q87" s="139"/>
      <c r="R87" s="155"/>
      <c r="S87" s="139"/>
      <c r="T87" s="745" t="str">
        <f>IF(TF="n","","T."&amp;Rens!G48)</f>
        <v/>
      </c>
      <c r="U87" s="182" t="s">
        <v>149</v>
      </c>
      <c r="V87" s="210"/>
      <c r="W87" s="202" t="str">
        <f>IF(V87="","",VLOOKUP(V87,liste!$A$9:$H$145,2,FALSE))</f>
        <v/>
      </c>
      <c r="X87" s="151"/>
      <c r="Y87" s="151"/>
      <c r="Z87" s="161"/>
      <c r="AA87" s="170"/>
      <c r="AB87" s="168"/>
      <c r="AC87" s="208"/>
      <c r="AD87" s="203" t="str">
        <f>IF(AC87="","",VLOOKUP(AC87,liste!$A$9:$H$145,2,FALSE))</f>
        <v/>
      </c>
      <c r="AE87" s="186"/>
      <c r="AF87" s="151"/>
      <c r="AG87" s="162"/>
      <c r="AH87" s="224" t="s">
        <v>150</v>
      </c>
      <c r="AI87" s="738" t="str">
        <f>IF(TF="n","","T."&amp;Rens!K51)</f>
        <v/>
      </c>
      <c r="AJ87" s="738"/>
      <c r="AK87" s="139"/>
      <c r="AL87" s="139"/>
      <c r="AM87" s="139"/>
      <c r="AN87" s="139"/>
      <c r="AO87" s="139"/>
      <c r="AP87" s="139"/>
      <c r="AQ87" s="139"/>
      <c r="AR87" s="139"/>
      <c r="AS87" s="739"/>
      <c r="AT87" s="136"/>
      <c r="AU87" s="741" t="str">
        <f>IF(TF="n","","T."&amp;Rens!K48)</f>
        <v/>
      </c>
      <c r="AV87" s="149" t="s">
        <v>151</v>
      </c>
      <c r="AW87" s="207"/>
      <c r="AX87" s="203" t="str">
        <f>IF(AW87="","",VLOOKUP(AW87,liste!$A$9:$H$145,2,FALSE))</f>
        <v/>
      </c>
      <c r="AY87" s="161"/>
      <c r="AZ87" s="170"/>
    </row>
    <row r="88" spans="1:52" ht="19.5" customHeight="1" x14ac:dyDescent="0.25">
      <c r="A88" s="164"/>
      <c r="B88" s="139"/>
      <c r="C88" s="139"/>
      <c r="D88" s="139"/>
      <c r="E88" s="152"/>
      <c r="F88" s="139"/>
      <c r="G88" s="139"/>
      <c r="H88" s="139"/>
      <c r="I88" s="139"/>
      <c r="J88" s="139"/>
      <c r="K88" s="169" t="s">
        <v>152</v>
      </c>
      <c r="L88" s="214" t="str">
        <f>IF(K41="","",IF(K41=P40,P42,IF(K41=P42,P40)))</f>
        <v/>
      </c>
      <c r="M88" s="202" t="str">
        <f>IF(L88="","",VLOOKUP(L88,liste!$A$9:$H$145,2,FALSE))</f>
        <v/>
      </c>
      <c r="N88" s="187"/>
      <c r="O88" s="144"/>
      <c r="P88" s="180"/>
      <c r="Q88" s="139"/>
      <c r="R88" s="155"/>
      <c r="S88" s="139"/>
      <c r="T88" s="139"/>
      <c r="U88" s="182"/>
      <c r="V88" s="139"/>
      <c r="W88" s="139"/>
      <c r="X88" s="139"/>
      <c r="Y88" s="139"/>
      <c r="Z88" s="139"/>
      <c r="AA88" s="170"/>
      <c r="AB88" s="168"/>
      <c r="AC88" s="139"/>
      <c r="AD88" s="139"/>
      <c r="AE88" s="136"/>
      <c r="AF88" s="139"/>
      <c r="AG88" s="152"/>
      <c r="AH88" s="139"/>
      <c r="AI88" s="139"/>
      <c r="AJ88" s="139"/>
      <c r="AK88" s="139"/>
      <c r="AL88" s="181" t="s">
        <v>153</v>
      </c>
      <c r="AM88" s="214" t="str">
        <f>IF(AG41="","",IF(AG41=AB40,AB42,IF(AG41=AB42,AB40)))</f>
        <v/>
      </c>
      <c r="AN88" s="203" t="str">
        <f>IF(AM88="","",VLOOKUP(AM88,liste!$A$9:$H$145,2,FALSE))</f>
        <v/>
      </c>
      <c r="AO88" s="158"/>
      <c r="AP88" s="151"/>
      <c r="AQ88" s="151"/>
      <c r="AR88" s="139"/>
      <c r="AS88" s="139"/>
      <c r="AT88" s="136"/>
      <c r="AU88" s="139"/>
      <c r="AV88" s="152"/>
      <c r="AW88" s="139"/>
      <c r="AX88" s="136"/>
      <c r="AY88" s="136"/>
      <c r="AZ88" s="170"/>
    </row>
    <row r="89" spans="1:52" ht="19.5" customHeight="1" x14ac:dyDescent="0.25">
      <c r="A89" s="164"/>
      <c r="B89" s="139"/>
      <c r="C89" s="139"/>
      <c r="D89" s="139"/>
      <c r="E89" s="152"/>
      <c r="F89" s="214">
        <v>24</v>
      </c>
      <c r="G89" s="202" t="str">
        <f>IF(F89="","",VLOOKUP(F89,liste!$A$9:$H$145,2,FALSE))</f>
        <v>BOULARD  Neyl</v>
      </c>
      <c r="H89" s="144"/>
      <c r="I89" s="144"/>
      <c r="J89" s="153"/>
      <c r="K89" s="139"/>
      <c r="L89" s="139"/>
      <c r="M89" s="155"/>
      <c r="N89" s="139"/>
      <c r="O89" s="745" t="str">
        <f>IF(TF="n","","T."&amp;Rens!G37)</f>
        <v/>
      </c>
      <c r="P89" s="182"/>
      <c r="Q89" s="209"/>
      <c r="R89" s="202" t="str">
        <f>IF(Q89="","",VLOOKUP(Q89,liste!$A$9:$H$145,2,FALSE))</f>
        <v/>
      </c>
      <c r="S89" s="144"/>
      <c r="T89" s="144"/>
      <c r="U89" s="184"/>
      <c r="V89" s="139"/>
      <c r="W89" s="139"/>
      <c r="X89" s="139"/>
      <c r="Y89" s="139"/>
      <c r="Z89" s="139"/>
      <c r="AA89" s="170"/>
      <c r="AB89" s="168"/>
      <c r="AC89" s="139"/>
      <c r="AD89" s="139"/>
      <c r="AE89" s="139"/>
      <c r="AF89" s="139"/>
      <c r="AG89" s="152"/>
      <c r="AH89" s="219" t="str">
        <f>IF(AR89="","",IF(AR89=AM88,AM90,IF(AR89=AM90,AM88)))</f>
        <v/>
      </c>
      <c r="AI89" s="203" t="str">
        <f>IF(AH89="","",VLOOKUP(AH89,liste!$A$9:$H$145,2,FALSE))</f>
        <v/>
      </c>
      <c r="AJ89" s="151"/>
      <c r="AK89" s="151"/>
      <c r="AL89" s="162"/>
      <c r="AM89" s="139"/>
      <c r="AN89" s="139"/>
      <c r="AO89" s="740"/>
      <c r="AP89" s="741" t="str">
        <f>IF(TF="n","","T."&amp;Rens!K37)</f>
        <v/>
      </c>
      <c r="AQ89" s="152"/>
      <c r="AR89" s="207"/>
      <c r="AS89" s="203" t="str">
        <f>IF(AR89="","",VLOOKUP(AR89,liste!$A$9:$H$145,2,FALSE))</f>
        <v/>
      </c>
      <c r="AT89" s="186"/>
      <c r="AU89" s="151"/>
      <c r="AV89" s="161"/>
      <c r="AW89" s="139"/>
      <c r="AX89" s="136"/>
      <c r="AY89" s="136"/>
      <c r="AZ89" s="170"/>
    </row>
    <row r="90" spans="1:52" ht="19.5" customHeight="1" x14ac:dyDescent="0.3">
      <c r="A90" s="229" t="s">
        <v>260</v>
      </c>
      <c r="B90" s="139"/>
      <c r="C90" s="139"/>
      <c r="D90" s="139"/>
      <c r="E90" s="139"/>
      <c r="F90" s="189"/>
      <c r="G90" s="139"/>
      <c r="H90" s="139"/>
      <c r="I90" s="139"/>
      <c r="J90" s="152"/>
      <c r="K90" s="169" t="s">
        <v>154</v>
      </c>
      <c r="L90" s="214" t="str">
        <f>IF(K47="","",IF(K47=P46,P48,IF(K47=P48,P46)))</f>
        <v/>
      </c>
      <c r="M90" s="202" t="str">
        <f>IF(L90="","",VLOOKUP(L90,liste!$A$9:$H$145,2,FALSE))</f>
        <v/>
      </c>
      <c r="N90" s="187"/>
      <c r="O90" s="144"/>
      <c r="P90" s="184"/>
      <c r="Q90" s="139"/>
      <c r="R90" s="155"/>
      <c r="S90" s="139"/>
      <c r="T90" s="139"/>
      <c r="U90" s="190"/>
      <c r="V90" s="217" t="s">
        <v>258</v>
      </c>
      <c r="W90" s="139"/>
      <c r="X90" s="139"/>
      <c r="Y90" s="139"/>
      <c r="Z90" s="139"/>
      <c r="AA90" s="170"/>
      <c r="AB90" s="168"/>
      <c r="AC90" s="222" t="s">
        <v>267</v>
      </c>
      <c r="AD90" s="139"/>
      <c r="AE90" s="139"/>
      <c r="AF90" s="139"/>
      <c r="AG90" s="139"/>
      <c r="AH90" s="139"/>
      <c r="AI90" s="189"/>
      <c r="AJ90" s="139"/>
      <c r="AK90" s="139"/>
      <c r="AL90" s="181" t="s">
        <v>155</v>
      </c>
      <c r="AM90" s="215" t="str">
        <f>IF(AG47="","",IF(AG47=AB46,AB48,IF(AG47=AB48,AB46)))</f>
        <v/>
      </c>
      <c r="AN90" s="203" t="str">
        <f>IF(AM90="","",VLOOKUP(AM90,liste!$A$9:$H$145,2,FALSE))</f>
        <v/>
      </c>
      <c r="AO90" s="158"/>
      <c r="AP90" s="151"/>
      <c r="AQ90" s="161"/>
      <c r="AR90" s="139"/>
      <c r="AS90" s="139"/>
      <c r="AT90" s="136"/>
      <c r="AU90" s="139"/>
      <c r="AV90" s="191"/>
      <c r="AW90" s="222" t="s">
        <v>265</v>
      </c>
      <c r="AX90" s="136"/>
      <c r="AY90" s="136"/>
      <c r="AZ90" s="170"/>
    </row>
    <row r="91" spans="1:52" ht="19.5" customHeight="1" x14ac:dyDescent="0.25">
      <c r="A91" s="164"/>
      <c r="B91" s="214" t="str">
        <f>IF(B79="","",IF(B79=F77,F81,IF(B79=F81,F77)))</f>
        <v/>
      </c>
      <c r="C91" s="202" t="str">
        <f>IF(B91="","",VLOOKUP(B91,liste!$A$9:$H$145,2,FALSE))</f>
        <v/>
      </c>
      <c r="D91" s="143"/>
      <c r="E91" s="143"/>
      <c r="F91" s="192"/>
      <c r="G91" s="139"/>
      <c r="H91" s="139"/>
      <c r="I91" s="166" t="s">
        <v>156</v>
      </c>
      <c r="J91" s="139"/>
      <c r="K91" s="139"/>
      <c r="L91" s="139"/>
      <c r="M91" s="139"/>
      <c r="N91" s="139"/>
      <c r="O91" s="139"/>
      <c r="P91" s="133"/>
      <c r="Q91" s="139"/>
      <c r="R91" s="155"/>
      <c r="S91" s="139"/>
      <c r="T91" s="181" t="s">
        <v>157</v>
      </c>
      <c r="U91" s="193"/>
      <c r="V91" s="216" t="str">
        <f>IF(V79="","",IF(V79=Q77,Q81,IF(V79=Q81,Q77)))</f>
        <v/>
      </c>
      <c r="W91" s="202" t="str">
        <f>IF(V91="","",VLOOKUP(V91,liste!$A$9:$H$145,2,FALSE))</f>
        <v/>
      </c>
      <c r="X91" s="143"/>
      <c r="Y91" s="143"/>
      <c r="Z91" s="143"/>
      <c r="AA91" s="170"/>
      <c r="AB91" s="168"/>
      <c r="AC91" s="139"/>
      <c r="AD91" s="219" t="str">
        <f>IF(AC79="","",IF(AC79=AH77,AH81,IF(AC79=AH81,AH77)))</f>
        <v/>
      </c>
      <c r="AE91" s="203" t="str">
        <f>IF(AD91="","",VLOOKUP(AD91,liste!$A$9:$H$145,2,FALSE))</f>
        <v/>
      </c>
      <c r="AF91" s="151"/>
      <c r="AG91" s="150"/>
      <c r="AH91" s="150"/>
      <c r="AI91" s="194"/>
      <c r="AJ91" s="166" t="s">
        <v>158</v>
      </c>
      <c r="AK91" s="139"/>
      <c r="AL91" s="139"/>
      <c r="AM91" s="139"/>
      <c r="AN91" s="139"/>
      <c r="AO91" s="139"/>
      <c r="AP91" s="139"/>
      <c r="AQ91" s="139"/>
      <c r="AR91" s="139"/>
      <c r="AS91" s="139"/>
      <c r="AT91" s="136"/>
      <c r="AU91" s="181" t="s">
        <v>159</v>
      </c>
      <c r="AV91" s="195"/>
      <c r="AW91" s="216" t="str">
        <f>IF(AW79="","",IF(AW79=AR77,AR81,IF(AW79=AR81,AR77)))</f>
        <v/>
      </c>
      <c r="AX91" s="203" t="str">
        <f>IF(AW91="","",VLOOKUP(AW91,liste!$A$9:$H$145,2,FALSE))</f>
        <v/>
      </c>
      <c r="AY91" s="186"/>
      <c r="AZ91" s="170"/>
    </row>
    <row r="92" spans="1:52" ht="19.5" customHeight="1" x14ac:dyDescent="0.25">
      <c r="A92" s="164"/>
      <c r="B92" s="750"/>
      <c r="C92" s="742" t="str">
        <f>IF(TF="n","","T."&amp;Rens!G62)</f>
        <v/>
      </c>
      <c r="D92" s="159"/>
      <c r="E92" s="139"/>
      <c r="F92" s="189"/>
      <c r="G92" s="139"/>
      <c r="H92" s="139"/>
      <c r="I92" s="139"/>
      <c r="J92" s="139"/>
      <c r="K92" s="139"/>
      <c r="L92" s="139"/>
      <c r="M92" s="139"/>
      <c r="N92" s="139"/>
      <c r="O92" s="139"/>
      <c r="P92" s="133"/>
      <c r="Q92" s="139"/>
      <c r="R92" s="139"/>
      <c r="S92" s="139"/>
      <c r="T92" s="139"/>
      <c r="U92" s="190"/>
      <c r="V92" s="139"/>
      <c r="W92" s="139"/>
      <c r="X92" s="139"/>
      <c r="Y92" s="742" t="str">
        <f>IF(TF="n","","T."&amp;Rens!G60)</f>
        <v/>
      </c>
      <c r="Z92" s="152"/>
      <c r="AA92" s="170"/>
      <c r="AB92" s="168"/>
      <c r="AC92" s="139"/>
      <c r="AD92" s="751"/>
      <c r="AE92" s="752" t="str">
        <f>IF(TF="n","","T."&amp;Rens!K62)</f>
        <v/>
      </c>
      <c r="AF92" s="139"/>
      <c r="AG92" s="139"/>
      <c r="AH92" s="139"/>
      <c r="AI92" s="18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6"/>
      <c r="AU92" s="139"/>
      <c r="AV92" s="191"/>
      <c r="AW92" s="139"/>
      <c r="AX92" s="136"/>
      <c r="AY92" s="749" t="str">
        <f>IF(TF="n","","T."&amp;Rens!K61)</f>
        <v/>
      </c>
      <c r="AZ92" s="170"/>
    </row>
    <row r="93" spans="1:52" ht="19.5" customHeight="1" x14ac:dyDescent="0.25">
      <c r="A93" s="164"/>
      <c r="B93" s="208"/>
      <c r="C93" s="202" t="str">
        <f>IF(B93="","",VLOOKUP(B93,liste!$A$9:$H$145,2,FALSE))</f>
        <v/>
      </c>
      <c r="D93" s="196"/>
      <c r="E93" s="143"/>
      <c r="F93" s="197"/>
      <c r="G93" s="139"/>
      <c r="H93" s="139"/>
      <c r="I93" s="139"/>
      <c r="J93" s="139"/>
      <c r="K93" s="139"/>
      <c r="L93" s="139"/>
      <c r="M93" s="139"/>
      <c r="N93" s="139"/>
      <c r="O93" s="139"/>
      <c r="P93" s="133"/>
      <c r="Q93" s="139"/>
      <c r="R93" s="139"/>
      <c r="S93" s="139"/>
      <c r="T93" s="139"/>
      <c r="U93" s="210"/>
      <c r="V93" s="202" t="str">
        <f>IF(U93="","",VLOOKUP(U93,liste!$A$9:$H$145,2,FALSE))</f>
        <v/>
      </c>
      <c r="W93" s="143"/>
      <c r="X93" s="143"/>
      <c r="Y93" s="143"/>
      <c r="Z93" s="147"/>
      <c r="AA93" s="170"/>
      <c r="AB93" s="168"/>
      <c r="AC93" s="139"/>
      <c r="AD93" s="208"/>
      <c r="AE93" s="203" t="str">
        <f>IF(AD93="","",VLOOKUP(AD93,liste!$A$9:$H$145,2,FALSE))</f>
        <v/>
      </c>
      <c r="AF93" s="151"/>
      <c r="AG93" s="150"/>
      <c r="AH93" s="156"/>
      <c r="AI93" s="18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6"/>
      <c r="AU93" s="139"/>
      <c r="AV93" s="211"/>
      <c r="AW93" s="203" t="str">
        <f>IF(AV93="","",VLOOKUP(AV93,liste!$A$9:$H$145,2,FALSE))</f>
        <v/>
      </c>
      <c r="AX93" s="186"/>
      <c r="AY93" s="161"/>
      <c r="AZ93" s="170"/>
    </row>
    <row r="94" spans="1:52" ht="19.5" customHeight="1" x14ac:dyDescent="0.25">
      <c r="A94" s="164"/>
      <c r="B94" s="154"/>
      <c r="C94" s="139"/>
      <c r="D94" s="159"/>
      <c r="E94" s="139"/>
      <c r="F94" s="189"/>
      <c r="G94" s="139"/>
      <c r="H94" s="139"/>
      <c r="I94" s="139"/>
      <c r="J94" s="139"/>
      <c r="K94" s="139"/>
      <c r="L94" s="139"/>
      <c r="M94" s="139"/>
      <c r="N94" s="139"/>
      <c r="O94" s="139"/>
      <c r="P94" s="133"/>
      <c r="Q94" s="139"/>
      <c r="R94" s="139"/>
      <c r="S94" s="139"/>
      <c r="T94" s="139"/>
      <c r="U94" s="190"/>
      <c r="V94" s="139"/>
      <c r="W94" s="139"/>
      <c r="X94" s="139"/>
      <c r="Y94" s="139"/>
      <c r="Z94" s="152"/>
      <c r="AA94" s="170"/>
      <c r="AB94" s="168"/>
      <c r="AC94" s="139"/>
      <c r="AD94" s="154"/>
      <c r="AE94" s="139"/>
      <c r="AF94" s="139"/>
      <c r="AG94" s="139"/>
      <c r="AH94" s="139"/>
      <c r="AI94" s="18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6"/>
      <c r="AU94" s="139"/>
      <c r="AV94" s="191"/>
      <c r="AW94" s="139"/>
      <c r="AX94" s="136"/>
      <c r="AY94" s="152"/>
      <c r="AZ94" s="170"/>
    </row>
    <row r="95" spans="1:52" ht="19.5" customHeight="1" x14ac:dyDescent="0.25">
      <c r="A95" s="164"/>
      <c r="B95" s="215" t="str">
        <f>IF(B87="","",IF(B87=F85,F89,IF(B87=F89,F85)))</f>
        <v/>
      </c>
      <c r="C95" s="202" t="str">
        <f>IF(B95="","",VLOOKUP(B95,liste!$A$9:$H$145,2,FALSE))</f>
        <v/>
      </c>
      <c r="D95" s="196"/>
      <c r="E95" s="143"/>
      <c r="F95" s="192"/>
      <c r="G95" s="139"/>
      <c r="H95" s="139"/>
      <c r="I95" s="166" t="s">
        <v>160</v>
      </c>
      <c r="J95" s="139"/>
      <c r="K95" s="139"/>
      <c r="L95" s="139"/>
      <c r="M95" s="139"/>
      <c r="N95" s="139"/>
      <c r="O95" s="139"/>
      <c r="P95" s="133"/>
      <c r="Q95" s="139"/>
      <c r="R95" s="139"/>
      <c r="S95" s="139"/>
      <c r="T95" s="181" t="s">
        <v>161</v>
      </c>
      <c r="U95" s="193"/>
      <c r="V95" s="216" t="str">
        <f>IF(V87="","",IF(V87=Q85,Q89,IF(V87=Q89,Q85)))</f>
        <v/>
      </c>
      <c r="W95" s="202" t="str">
        <f>IF(V95="","",VLOOKUP(V95,liste!$A$9:$H$145,2,FALSE))</f>
        <v/>
      </c>
      <c r="X95" s="143"/>
      <c r="Y95" s="143"/>
      <c r="Z95" s="147"/>
      <c r="AA95" s="170"/>
      <c r="AB95" s="168"/>
      <c r="AC95" s="139"/>
      <c r="AD95" s="218" t="str">
        <f>IF(AC87="","",IF(AC87=AH85,AH89,IF(AC87=AH89,AH85)))</f>
        <v/>
      </c>
      <c r="AE95" s="203" t="str">
        <f>IF(AD95="","",VLOOKUP(AD95,liste!$A$9:$H$145,2,FALSE))</f>
        <v/>
      </c>
      <c r="AF95" s="151"/>
      <c r="AG95" s="150"/>
      <c r="AH95" s="150"/>
      <c r="AI95" s="194"/>
      <c r="AJ95" s="166" t="s">
        <v>162</v>
      </c>
      <c r="AK95" s="139"/>
      <c r="AL95" s="139"/>
      <c r="AM95" s="139"/>
      <c r="AN95" s="139"/>
      <c r="AO95" s="139"/>
      <c r="AP95" s="139"/>
      <c r="AQ95" s="139"/>
      <c r="AR95" s="139"/>
      <c r="AS95" s="139"/>
      <c r="AT95" s="136"/>
      <c r="AU95" s="181" t="s">
        <v>163</v>
      </c>
      <c r="AV95" s="195"/>
      <c r="AW95" s="216" t="str">
        <f>IF(AW87="","",IF(AW87=AR85,AR89,IF(AW87=AR89,AR85)))</f>
        <v/>
      </c>
      <c r="AX95" s="203" t="str">
        <f>IF(AW95="","",VLOOKUP(AW95,liste!$A$9:$H$145,2,FALSE))</f>
        <v/>
      </c>
      <c r="AY95" s="161"/>
      <c r="AZ95" s="170"/>
    </row>
    <row r="96" spans="1:52" ht="19.5" customHeight="1" thickBot="1" x14ac:dyDescent="0.3">
      <c r="A96" s="198">
        <f>A6</f>
        <v>0</v>
      </c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4"/>
      <c r="Q96" s="173"/>
      <c r="R96" s="173"/>
      <c r="S96" s="173"/>
      <c r="T96" s="173"/>
      <c r="U96" s="174"/>
      <c r="V96" s="173"/>
      <c r="W96" s="173"/>
      <c r="X96" s="173"/>
      <c r="Y96" s="173"/>
      <c r="Z96" s="173"/>
      <c r="AA96" s="178"/>
      <c r="AB96" s="177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8"/>
    </row>
    <row r="97" ht="16.5" thickTop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</sheetData>
  <sheetProtection sheet="1" objects="1" scenarios="1" selectLockedCells="1"/>
  <mergeCells count="84">
    <mergeCell ref="BC70:BD70"/>
    <mergeCell ref="BC71:BD71"/>
    <mergeCell ref="BC64:BD64"/>
    <mergeCell ref="BC65:BD65"/>
    <mergeCell ref="BC66:BD66"/>
    <mergeCell ref="BC67:BD67"/>
    <mergeCell ref="BC68:BD68"/>
    <mergeCell ref="BC60:BD60"/>
    <mergeCell ref="BC61:BD61"/>
    <mergeCell ref="BC62:BD62"/>
    <mergeCell ref="BC63:BD63"/>
    <mergeCell ref="BC69:BD69"/>
    <mergeCell ref="BC55:BD55"/>
    <mergeCell ref="BC56:BD56"/>
    <mergeCell ref="BC57:BD57"/>
    <mergeCell ref="BC58:BD58"/>
    <mergeCell ref="BC59:BD59"/>
    <mergeCell ref="BC40:BD40"/>
    <mergeCell ref="A1:U1"/>
    <mergeCell ref="A2:U2"/>
    <mergeCell ref="A3:U3"/>
    <mergeCell ref="A4:U4"/>
    <mergeCell ref="V1:AU1"/>
    <mergeCell ref="V2:AU2"/>
    <mergeCell ref="V3:AU3"/>
    <mergeCell ref="V4:AU4"/>
    <mergeCell ref="A7:E7"/>
    <mergeCell ref="A8:E8"/>
    <mergeCell ref="AB7:AF7"/>
    <mergeCell ref="AB8:AF8"/>
    <mergeCell ref="K7:O7"/>
    <mergeCell ref="K8:O8"/>
    <mergeCell ref="F7:J7"/>
    <mergeCell ref="F8:J8"/>
    <mergeCell ref="U8:AA8"/>
    <mergeCell ref="U7:AA7"/>
    <mergeCell ref="P7:T7"/>
    <mergeCell ref="P8:T8"/>
    <mergeCell ref="AU9:AY9"/>
    <mergeCell ref="AU10:AY10"/>
    <mergeCell ref="AQ7:AU7"/>
    <mergeCell ref="AQ8:AU8"/>
    <mergeCell ref="AG7:AK7"/>
    <mergeCell ref="AG8:AK8"/>
    <mergeCell ref="AL7:AP7"/>
    <mergeCell ref="AL8:AP8"/>
    <mergeCell ref="AU12:AY13"/>
    <mergeCell ref="AB56:AZ56"/>
    <mergeCell ref="AB73:AZ73"/>
    <mergeCell ref="AU14:AY14"/>
    <mergeCell ref="AM64:AQ64"/>
    <mergeCell ref="AH64:AL64"/>
    <mergeCell ref="AR64:AV64"/>
    <mergeCell ref="BC41:BD41"/>
    <mergeCell ref="BC42:BD42"/>
    <mergeCell ref="BC43:BD43"/>
    <mergeCell ref="BC44:BD44"/>
    <mergeCell ref="BC45:BD45"/>
    <mergeCell ref="BC46:BD46"/>
    <mergeCell ref="BC47:BD47"/>
    <mergeCell ref="BC48:BD48"/>
    <mergeCell ref="A56:AA56"/>
    <mergeCell ref="A73:AA73"/>
    <mergeCell ref="A57:AA57"/>
    <mergeCell ref="K64:P64"/>
    <mergeCell ref="F64:J64"/>
    <mergeCell ref="Q64:U64"/>
    <mergeCell ref="AB57:AY57"/>
    <mergeCell ref="BC49:BD49"/>
    <mergeCell ref="BC50:BD50"/>
    <mergeCell ref="BC51:BD51"/>
    <mergeCell ref="BC52:BD52"/>
    <mergeCell ref="BC53:BD53"/>
    <mergeCell ref="BC54:BD54"/>
    <mergeCell ref="A75:E75"/>
    <mergeCell ref="Q75:U75"/>
    <mergeCell ref="V75:Z75"/>
    <mergeCell ref="AW75:AY75"/>
    <mergeCell ref="AC75:AG75"/>
    <mergeCell ref="AH75:AL75"/>
    <mergeCell ref="AM75:AQ75"/>
    <mergeCell ref="AR75:AV75"/>
    <mergeCell ref="F75:J75"/>
    <mergeCell ref="K75:P75"/>
  </mergeCells>
  <phoneticPr fontId="0" type="noConversion"/>
  <conditionalFormatting sqref="A1:A4">
    <cfRule type="cellIs" dxfId="2" priority="2" operator="equal">
      <formula>0</formula>
    </cfRule>
  </conditionalFormatting>
  <conditionalFormatting sqref="V1:V4">
    <cfRule type="cellIs" dxfId="1" priority="1" operator="equal">
      <formula>0</formula>
    </cfRule>
  </conditionalFormatting>
  <printOptions horizontalCentered="1" verticalCentered="1"/>
  <pageMargins left="0.11811023622047245" right="0.47244094488188981" top="0.11811023622047245" bottom="0.19685039370078741" header="0.15748031496062992" footer="0.15748031496062992"/>
  <pageSetup paperSize="9" scale="51" fitToHeight="2" orientation="landscape" horizontalDpi="300" verticalDpi="300" r:id="rId1"/>
  <headerFooter alignWithMargins="0"/>
  <rowBreaks count="1" manualBreakCount="1">
    <brk id="54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barrages">
                <anchor moveWithCells="1" sizeWithCells="1">
                  <from>
                    <xdr:col>20</xdr:col>
                    <xdr:colOff>209550</xdr:colOff>
                    <xdr:row>5</xdr:row>
                    <xdr:rowOff>0</xdr:rowOff>
                  </from>
                  <to>
                    <xdr:col>25</xdr:col>
                    <xdr:colOff>47625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huit_ko">
                <anchor moveWithCells="1" sizeWithCells="1">
                  <from>
                    <xdr:col>15</xdr:col>
                    <xdr:colOff>47625</xdr:colOff>
                    <xdr:row>4</xdr:row>
                    <xdr:rowOff>228600</xdr:rowOff>
                  </from>
                  <to>
                    <xdr:col>19</xdr:col>
                    <xdr:colOff>276225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Button 5">
              <controlPr defaultSize="0" print="0" autoFill="0" autoPict="0" macro="[0]!quart_ko">
                <anchor moveWithCells="1" sizeWithCells="1">
                  <from>
                    <xdr:col>10</xdr:col>
                    <xdr:colOff>66675</xdr:colOff>
                    <xdr:row>4</xdr:row>
                    <xdr:rowOff>200025</xdr:rowOff>
                  </from>
                  <to>
                    <xdr:col>14</xdr:col>
                    <xdr:colOff>247650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Button 6">
              <controlPr defaultSize="0" print="0" autoFill="0" autoPict="0" macro="[0]!quart_gagnant">
                <anchor moveWithCells="1" sizeWithCells="1">
                  <from>
                    <xdr:col>32</xdr:col>
                    <xdr:colOff>133350</xdr:colOff>
                    <xdr:row>4</xdr:row>
                    <xdr:rowOff>190500</xdr:rowOff>
                  </from>
                  <to>
                    <xdr:col>36</xdr:col>
                    <xdr:colOff>28575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Button 7">
              <controlPr defaultSize="0" print="0" autoFill="0" autoPict="0" macro="[0]!demi_KO">
                <anchor moveWithCells="1" sizeWithCells="1">
                  <from>
                    <xdr:col>5</xdr:col>
                    <xdr:colOff>180975</xdr:colOff>
                    <xdr:row>4</xdr:row>
                    <xdr:rowOff>228600</xdr:rowOff>
                  </from>
                  <to>
                    <xdr:col>9</xdr:col>
                    <xdr:colOff>238125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Button 8">
              <controlPr defaultSize="0" print="0" autoFill="0" autoPict="0" macro="[0]!demi_gagnant">
                <anchor moveWithCells="1" sizeWithCells="1">
                  <from>
                    <xdr:col>37</xdr:col>
                    <xdr:colOff>142875</xdr:colOff>
                    <xdr:row>4</xdr:row>
                    <xdr:rowOff>180975</xdr:rowOff>
                  </from>
                  <to>
                    <xdr:col>41</xdr:col>
                    <xdr:colOff>247650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Button 9">
              <controlPr defaultSize="0" print="0" autoFill="0" autoPict="0" macro="[0]!Finale_ko">
                <anchor moveWithCells="1" sizeWithCells="1">
                  <from>
                    <xdr:col>1</xdr:col>
                    <xdr:colOff>9525</xdr:colOff>
                    <xdr:row>4</xdr:row>
                    <xdr:rowOff>228600</xdr:rowOff>
                  </from>
                  <to>
                    <xdr:col>5</xdr:col>
                    <xdr:colOff>85725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Button 10">
              <controlPr defaultSize="0" print="0" autoFill="0" autoPict="0" macro="[0]!Finale_gagnant">
                <anchor moveWithCells="1" sizeWithCells="1">
                  <from>
                    <xdr:col>42</xdr:col>
                    <xdr:colOff>104775</xdr:colOff>
                    <xdr:row>4</xdr:row>
                    <xdr:rowOff>190500</xdr:rowOff>
                  </from>
                  <to>
                    <xdr:col>47</xdr:col>
                    <xdr:colOff>114300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Button 14">
              <controlPr defaultSize="0" print="0" autoFill="0" autoPict="0" macro="[0]!huit_gagnant">
                <anchor moveWithCells="1" sizeWithCells="1">
                  <from>
                    <xdr:col>28</xdr:col>
                    <xdr:colOff>209550</xdr:colOff>
                    <xdr:row>4</xdr:row>
                    <xdr:rowOff>180975</xdr:rowOff>
                  </from>
                  <to>
                    <xdr:col>32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J40"/>
  <sheetViews>
    <sheetView view="pageBreakPreview" zoomScale="60" zoomScaleNormal="100" workbookViewId="0">
      <selection activeCell="G5" sqref="G5"/>
    </sheetView>
  </sheetViews>
  <sheetFormatPr baseColWidth="10" defaultColWidth="11.42578125" defaultRowHeight="12.75" x14ac:dyDescent="0.2"/>
  <cols>
    <col min="1" max="1" width="4.140625" style="481" customWidth="1"/>
    <col min="2" max="2" width="15.7109375" style="481" bestFit="1" customWidth="1"/>
    <col min="3" max="3" width="5.7109375" style="481" hidden="1" customWidth="1"/>
    <col min="4" max="4" width="25.7109375" style="481" customWidth="1"/>
    <col min="5" max="5" width="13.42578125" style="481" bestFit="1" customWidth="1"/>
    <col min="6" max="6" width="11.42578125" style="481" bestFit="1" customWidth="1"/>
    <col min="7" max="7" width="34.42578125" style="481" customWidth="1"/>
    <col min="8" max="8" width="8.140625" style="481" bestFit="1" customWidth="1"/>
    <col min="9" max="9" width="4.5703125" style="481" bestFit="1" customWidth="1"/>
    <col min="10" max="10" width="11.140625" style="481" customWidth="1"/>
    <col min="11" max="16384" width="11.42578125" style="481"/>
  </cols>
  <sheetData>
    <row r="1" spans="1:10" ht="24.95" customHeight="1" x14ac:dyDescent="0.2">
      <c r="A1" s="987" t="str">
        <f>Rens!A1</f>
        <v>Circuit décathlon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ht="24.95" customHeight="1" x14ac:dyDescent="0.2">
      <c r="A2" s="987" t="str">
        <f>Rens!B3</f>
        <v>Minimes</v>
      </c>
      <c r="B2" s="987"/>
      <c r="C2" s="987"/>
      <c r="D2" s="987"/>
      <c r="E2" s="987"/>
      <c r="F2" s="987" t="s">
        <v>164</v>
      </c>
      <c r="G2" s="987"/>
      <c r="H2" s="987">
        <f>Rens!E2</f>
        <v>1</v>
      </c>
      <c r="I2" s="987"/>
      <c r="J2" s="754"/>
    </row>
    <row r="3" spans="1:10" ht="24.95" customHeight="1" x14ac:dyDescent="0.2">
      <c r="A3" s="987">
        <f>Rens!B4</f>
        <v>43421</v>
      </c>
      <c r="B3" s="987"/>
      <c r="C3" s="987"/>
      <c r="D3" s="987"/>
      <c r="E3" s="987"/>
      <c r="F3" s="987" t="str">
        <f>Rens!B2</f>
        <v>Champagné</v>
      </c>
      <c r="G3" s="987"/>
      <c r="H3" s="987"/>
      <c r="I3" s="987"/>
      <c r="J3" s="987"/>
    </row>
    <row r="4" spans="1:10" s="483" customFormat="1" ht="6.75" x14ac:dyDescent="0.15"/>
    <row r="5" spans="1:10" s="482" customFormat="1" ht="20.100000000000001" customHeight="1" x14ac:dyDescent="0.2">
      <c r="A5" s="484" t="s">
        <v>165</v>
      </c>
      <c r="B5" s="484" t="s">
        <v>166</v>
      </c>
      <c r="C5" s="485" t="s">
        <v>14</v>
      </c>
      <c r="D5" s="484" t="s">
        <v>167</v>
      </c>
      <c r="E5" s="484" t="s">
        <v>4</v>
      </c>
      <c r="F5" s="484" t="s">
        <v>168</v>
      </c>
      <c r="G5" s="484" t="s">
        <v>169</v>
      </c>
      <c r="H5" s="484" t="s">
        <v>271</v>
      </c>
      <c r="I5" s="486" t="s">
        <v>170</v>
      </c>
      <c r="J5" s="487"/>
    </row>
    <row r="6" spans="1:10" s="482" customFormat="1" ht="20.100000000000001" customHeight="1" x14ac:dyDescent="0.2">
      <c r="A6" s="484">
        <v>1</v>
      </c>
      <c r="B6" s="488" t="str">
        <f>IF(C6="","",VLOOKUP(C6,liste!$A$9:$H$145,7,FALSE))</f>
        <v/>
      </c>
      <c r="C6" s="489" t="str">
        <f>IF(Tableau!AP29="","",Tableau!AP29)</f>
        <v/>
      </c>
      <c r="D6" s="490" t="str">
        <f>IF(C6="","",VLOOKUP(C6,liste!$A$9:$H$145,2,FALSE))</f>
        <v/>
      </c>
      <c r="E6" s="491" t="str">
        <f>IF(C6="","",VLOOKUP(C6,liste!$A$9:$H$145,4,FALSE))</f>
        <v/>
      </c>
      <c r="F6" s="491" t="str">
        <f>IF(C6="","",VLOOKUP(C6,liste!$A$9:$H$145,5,FALSE))</f>
        <v/>
      </c>
      <c r="G6" s="492" t="str">
        <f>IF(C6="","",VLOOKUP(C6,liste!$A$9:$H$145,3,FALSE))</f>
        <v/>
      </c>
      <c r="H6" s="491" t="str">
        <f>IF(C6="","",VLOOKUP(C6,liste!$A$9:$H$145,6,FALSE))</f>
        <v/>
      </c>
      <c r="I6" s="755">
        <v>100</v>
      </c>
      <c r="J6" s="756">
        <f>Rens!E9</f>
        <v>0</v>
      </c>
    </row>
    <row r="7" spans="1:10" s="482" customFormat="1" ht="20.100000000000001" customHeight="1" x14ac:dyDescent="0.2">
      <c r="A7" s="484">
        <v>2</v>
      </c>
      <c r="B7" s="488" t="str">
        <f>IF(C7="","",VLOOKUP(C7,liste!$A$9:$H$145,7,FALSE))</f>
        <v/>
      </c>
      <c r="C7" s="489" t="str">
        <f>IF(Tableau!AP29="","",IF(Tableau!AP29=Tableau!AQ19,Tableau!AQ39,IF(Tableau!AP29=Tableau!AQ39,Tableau!AQ19)))</f>
        <v/>
      </c>
      <c r="D7" s="490" t="str">
        <f>IF(C7="","",VLOOKUP(C7,liste!$A$9:$H$145,2,FALSE))</f>
        <v/>
      </c>
      <c r="E7" s="491" t="str">
        <f>IF(C7="","",VLOOKUP(C7,liste!$A$9:$H$145,4,FALSE))</f>
        <v/>
      </c>
      <c r="F7" s="491" t="str">
        <f>IF(C7="","",VLOOKUP(C7,liste!$A$9:$H$145,5,FALSE))</f>
        <v/>
      </c>
      <c r="G7" s="492" t="str">
        <f>IF(C7="","",VLOOKUP(C7,liste!$A$9:$H$145,3,FALSE))</f>
        <v/>
      </c>
      <c r="H7" s="491" t="str">
        <f>IF(C7="","",VLOOKUP(C7,liste!$A$9:$H$145,6,FALSE))</f>
        <v/>
      </c>
      <c r="I7" s="755">
        <v>80</v>
      </c>
      <c r="J7" s="756">
        <f>$J$6</f>
        <v>0</v>
      </c>
    </row>
    <row r="8" spans="1:10" s="482" customFormat="1" ht="20.100000000000001" customHeight="1" x14ac:dyDescent="0.2">
      <c r="A8" s="484">
        <v>3</v>
      </c>
      <c r="B8" s="488" t="str">
        <f>IF(C8="","",VLOOKUP(C8,liste!$A$9:$H$145,7,FALSE))</f>
        <v/>
      </c>
      <c r="C8" s="489" t="str">
        <f>IF(Tableau!AQ59="","",Tableau!AQ59)</f>
        <v/>
      </c>
      <c r="D8" s="490" t="str">
        <f>IF(C8="","",VLOOKUP(C8,liste!$A$9:$H$145,2,FALSE))</f>
        <v/>
      </c>
      <c r="E8" s="491" t="str">
        <f>IF(C8="","",VLOOKUP(C8,liste!$A$9:$H$145,4,FALSE))</f>
        <v/>
      </c>
      <c r="F8" s="491" t="str">
        <f>IF(C8="","",VLOOKUP(C8,liste!$A$9:$H$145,5,FALSE))</f>
        <v/>
      </c>
      <c r="G8" s="492" t="str">
        <f>IF(C8="","",VLOOKUP(C8,liste!$A$9:$H$145,3,FALSE))</f>
        <v/>
      </c>
      <c r="H8" s="491" t="str">
        <f>IF(C8="","",VLOOKUP(C8,liste!$A$9:$H$145,6,FALSE))</f>
        <v/>
      </c>
      <c r="I8" s="755">
        <v>65</v>
      </c>
      <c r="J8" s="756">
        <f t="shared" ref="J8:J37" si="0">$J$6</f>
        <v>0</v>
      </c>
    </row>
    <row r="9" spans="1:10" s="482" customFormat="1" ht="20.100000000000001" customHeight="1" x14ac:dyDescent="0.2">
      <c r="A9" s="484">
        <v>4</v>
      </c>
      <c r="B9" s="488" t="str">
        <f>IF(C9="","",VLOOKUP(C9,liste!$A$9:$H$145,7,FALSE))</f>
        <v/>
      </c>
      <c r="C9" s="489" t="str">
        <f>IF(Tableau!AQ59="","",IF(Tableau!AQ59=Tableau!AL58,Tableau!AL60,IF(Tableau!AQ59=Tableau!AL60,Tableau!AL58)))</f>
        <v/>
      </c>
      <c r="D9" s="490" t="str">
        <f>IF(C9="","",VLOOKUP(C9,liste!$A$9:$H$145,2,FALSE))</f>
        <v/>
      </c>
      <c r="E9" s="491" t="str">
        <f>IF(C9="","",VLOOKUP(C9,liste!$A$9:$H$145,4,FALSE))</f>
        <v/>
      </c>
      <c r="F9" s="491" t="str">
        <f>IF(C9="","",VLOOKUP(C9,liste!$A$9:$H$145,5,FALSE))</f>
        <v/>
      </c>
      <c r="G9" s="492" t="str">
        <f>IF(C9="","",VLOOKUP(C9,liste!$A$9:$H$145,3,FALSE))</f>
        <v/>
      </c>
      <c r="H9" s="491" t="str">
        <f>IF(C9="","",VLOOKUP(C9,liste!$A$9:$H$145,6,FALSE))</f>
        <v/>
      </c>
      <c r="I9" s="755">
        <v>55</v>
      </c>
      <c r="J9" s="756">
        <f t="shared" si="0"/>
        <v>0</v>
      </c>
    </row>
    <row r="10" spans="1:10" s="482" customFormat="1" ht="20.100000000000001" customHeight="1" x14ac:dyDescent="0.2">
      <c r="A10" s="484">
        <v>5</v>
      </c>
      <c r="B10" s="488" t="str">
        <f>IF(C10="","",VLOOKUP(C10,liste!$A$9:$H$145,7,FALSE))</f>
        <v/>
      </c>
      <c r="C10" s="489" t="str">
        <f>IF(Tableau!AW68="","",Tableau!AW68)</f>
        <v/>
      </c>
      <c r="D10" s="490" t="str">
        <f>IF(C10="","",VLOOKUP(C10,liste!$A$9:$H$145,2,FALSE))</f>
        <v/>
      </c>
      <c r="E10" s="491" t="str">
        <f>IF(C10="","",VLOOKUP(C10,liste!$A$9:$H$145,4,FALSE))</f>
        <v/>
      </c>
      <c r="F10" s="491" t="str">
        <f>IF(C10="","",VLOOKUP(C10,liste!$A$9:$H$145,5,FALSE))</f>
        <v/>
      </c>
      <c r="G10" s="492" t="str">
        <f>IF(C10="","",VLOOKUP(C10,liste!$A$9:$H$145,3,FALSE))</f>
        <v/>
      </c>
      <c r="H10" s="491" t="str">
        <f>IF(C10="","",VLOOKUP(C10,liste!$A$9:$H$145,6,FALSE))</f>
        <v/>
      </c>
      <c r="I10" s="755">
        <v>45</v>
      </c>
      <c r="J10" s="756">
        <f t="shared" si="0"/>
        <v>0</v>
      </c>
    </row>
    <row r="11" spans="1:10" s="482" customFormat="1" ht="20.100000000000001" customHeight="1" x14ac:dyDescent="0.2">
      <c r="A11" s="484">
        <v>6</v>
      </c>
      <c r="B11" s="488" t="str">
        <f>IF(C11="","",VLOOKUP(C11,liste!$A$9:$H$145,7,FALSE))</f>
        <v/>
      </c>
      <c r="C11" s="489" t="str">
        <f>IF(Tableau!AW68="","",IF(Tableau!AW68=Tableau!AR66,Tableau!AR70,IF(Tableau!AW68=Tableau!AR70,Tableau!AR66)))</f>
        <v/>
      </c>
      <c r="D11" s="490" t="str">
        <f>IF(C11="","",VLOOKUP(C11,liste!$A$9:$H$145,2,FALSE))</f>
        <v/>
      </c>
      <c r="E11" s="491" t="str">
        <f>IF(C11="","",VLOOKUP(C11,liste!$A$9:$H$145,4,FALSE))</f>
        <v/>
      </c>
      <c r="F11" s="491" t="str">
        <f>IF(C11="","",VLOOKUP(C11,liste!$A$9:$H$145,5,FALSE))</f>
        <v/>
      </c>
      <c r="G11" s="492" t="str">
        <f>IF(C11="","",VLOOKUP(C11,liste!$A$9:$H$145,3,FALSE))</f>
        <v/>
      </c>
      <c r="H11" s="491" t="str">
        <f>IF(C11="","",VLOOKUP(C11,liste!$A$9:$H$145,6,FALSE))</f>
        <v/>
      </c>
      <c r="I11" s="755">
        <v>40</v>
      </c>
      <c r="J11" s="756">
        <f t="shared" si="0"/>
        <v>0</v>
      </c>
    </row>
    <row r="12" spans="1:10" s="482" customFormat="1" ht="20.100000000000001" customHeight="1" x14ac:dyDescent="0.2">
      <c r="A12" s="484">
        <v>7</v>
      </c>
      <c r="B12" s="488" t="str">
        <f>IF(C12="","",VLOOKUP(C12,liste!$A$9:$H$145,7,FALSE))</f>
        <v/>
      </c>
      <c r="C12" s="489" t="str">
        <f>IF(Tableau!AC68="","",Tableau!AC68)</f>
        <v/>
      </c>
      <c r="D12" s="490" t="str">
        <f>IF(C12="","",VLOOKUP(C12,liste!$A$9:$H$145,2,FALSE))</f>
        <v/>
      </c>
      <c r="E12" s="491" t="str">
        <f>IF(C12="","",VLOOKUP(C12,liste!$A$9:$H$145,4,FALSE))</f>
        <v/>
      </c>
      <c r="F12" s="491" t="str">
        <f>IF(C12="","",VLOOKUP(C12,liste!$A$9:$H$145,5,FALSE))</f>
        <v/>
      </c>
      <c r="G12" s="492" t="str">
        <f>IF(C12="","",VLOOKUP(C12,liste!$A$9:$H$145,3,FALSE))</f>
        <v/>
      </c>
      <c r="H12" s="491" t="str">
        <f>IF(C12="","",VLOOKUP(C12,liste!$A$9:$H$145,6,FALSE))</f>
        <v/>
      </c>
      <c r="I12" s="755">
        <v>37</v>
      </c>
      <c r="J12" s="756">
        <f t="shared" si="0"/>
        <v>0</v>
      </c>
    </row>
    <row r="13" spans="1:10" s="482" customFormat="1" ht="20.100000000000001" customHeight="1" x14ac:dyDescent="0.2">
      <c r="A13" s="484">
        <v>8</v>
      </c>
      <c r="B13" s="488" t="str">
        <f>IF(C13="","",VLOOKUP(C13,liste!$A$9:$H$145,7,FALSE))</f>
        <v/>
      </c>
      <c r="C13" s="489" t="str">
        <f>IF(Tableau!AC68="","",IF(Tableau!AC68=Tableau!AH66,Tableau!AH70,IF(Tableau!AC68=Tableau!AH70,Tableau!AH66)))</f>
        <v/>
      </c>
      <c r="D13" s="490" t="str">
        <f>IF(C13="","",VLOOKUP(C13,liste!$A$9:$H$145,2,FALSE))</f>
        <v/>
      </c>
      <c r="E13" s="491" t="str">
        <f>IF(C13="","",VLOOKUP(C13,liste!$A$9:$H$145,4,FALSE))</f>
        <v/>
      </c>
      <c r="F13" s="491" t="str">
        <f>IF(C13="","",VLOOKUP(C13,liste!$A$9:$H$145,5,FALSE))</f>
        <v/>
      </c>
      <c r="G13" s="492" t="str">
        <f>IF(C13="","",VLOOKUP(C13,liste!$A$9:$H$145,3,FALSE))</f>
        <v/>
      </c>
      <c r="H13" s="491" t="str">
        <f>IF(C13="","",VLOOKUP(C13,liste!$A$9:$H$145,6,FALSE))</f>
        <v/>
      </c>
      <c r="I13" s="755">
        <v>35</v>
      </c>
      <c r="J13" s="756">
        <f t="shared" si="0"/>
        <v>0</v>
      </c>
    </row>
    <row r="14" spans="1:10" s="482" customFormat="1" ht="20.100000000000001" customHeight="1" x14ac:dyDescent="0.2">
      <c r="A14" s="484">
        <v>9</v>
      </c>
      <c r="B14" s="488" t="str">
        <f>IF(C14="","",VLOOKUP(C14,liste!$A$9:$H$145,7,FALSE))</f>
        <v/>
      </c>
      <c r="C14" s="489" t="str">
        <f>IF(Tableau!AW83="","",Tableau!AW83)</f>
        <v/>
      </c>
      <c r="D14" s="490" t="str">
        <f>IF(C14="","",VLOOKUP(C14,liste!$A$9:$H$145,2,FALSE))</f>
        <v/>
      </c>
      <c r="E14" s="491" t="str">
        <f>IF(C14="","",VLOOKUP(C14,liste!$A$9:$H$145,4,FALSE))</f>
        <v/>
      </c>
      <c r="F14" s="491" t="str">
        <f>IF(C14="","",VLOOKUP(C14,liste!$A$9:$H$145,5,FALSE))</f>
        <v/>
      </c>
      <c r="G14" s="492" t="str">
        <f>IF(C14="","",VLOOKUP(C14,liste!$A$9:$H$145,3,FALSE))</f>
        <v/>
      </c>
      <c r="H14" s="491" t="str">
        <f>IF(C14="","",VLOOKUP(C14,liste!$A$9:$H$145,6,FALSE))</f>
        <v/>
      </c>
      <c r="I14" s="755">
        <v>33</v>
      </c>
      <c r="J14" s="756">
        <f t="shared" si="0"/>
        <v>0</v>
      </c>
    </row>
    <row r="15" spans="1:10" s="482" customFormat="1" ht="20.100000000000001" customHeight="1" x14ac:dyDescent="0.2">
      <c r="A15" s="484">
        <v>10</v>
      </c>
      <c r="B15" s="488" t="str">
        <f>IF(C15="","",VLOOKUP(C15,liste!$A$9:$H$145,7,FALSE))</f>
        <v/>
      </c>
      <c r="C15" s="489" t="str">
        <f>IF(Tableau!AW83="","",IF(Tableau!AW83=Tableau!AW79,Tableau!AW87,IF(Tableau!AW83=Tableau!AW87,Tableau!AW79)))</f>
        <v/>
      </c>
      <c r="D15" s="490" t="str">
        <f>IF(C15="","",VLOOKUP(C15,liste!$A$9:$H$145,2,FALSE))</f>
        <v/>
      </c>
      <c r="E15" s="491" t="str">
        <f>IF(C15="","",VLOOKUP(C15,liste!$A$9:$H$145,4,FALSE))</f>
        <v/>
      </c>
      <c r="F15" s="491" t="str">
        <f>IF(C15="","",VLOOKUP(C15,liste!$A$9:$H$145,5,FALSE))</f>
        <v/>
      </c>
      <c r="G15" s="492" t="str">
        <f>IF(C15="","",VLOOKUP(C15,liste!$A$9:$H$145,3,FALSE))</f>
        <v/>
      </c>
      <c r="H15" s="491" t="str">
        <f>IF(C15="","",VLOOKUP(C15,liste!$A$9:$H$145,6,FALSE))</f>
        <v/>
      </c>
      <c r="I15" s="755">
        <v>32</v>
      </c>
      <c r="J15" s="756">
        <f t="shared" si="0"/>
        <v>0</v>
      </c>
    </row>
    <row r="16" spans="1:10" s="482" customFormat="1" ht="20.100000000000001" customHeight="1" x14ac:dyDescent="0.2">
      <c r="A16" s="484">
        <v>11</v>
      </c>
      <c r="B16" s="488" t="str">
        <f>IF(C16="","",VLOOKUP(C16,liste!$A$9:$H$145,7,FALSE))</f>
        <v/>
      </c>
      <c r="C16" s="489" t="str">
        <f>IF(Tableau!AV93="","",Tableau!AV93)</f>
        <v/>
      </c>
      <c r="D16" s="490" t="str">
        <f>IF(C16="","",VLOOKUP(C16,liste!$A$9:$H$145,2,FALSE))</f>
        <v/>
      </c>
      <c r="E16" s="491" t="str">
        <f>IF(C16="","",VLOOKUP(C16,liste!$A$9:$H$145,4,FALSE))</f>
        <v/>
      </c>
      <c r="F16" s="491" t="str">
        <f>IF(C16="","",VLOOKUP(C16,liste!$A$9:$H$145,5,FALSE))</f>
        <v/>
      </c>
      <c r="G16" s="492" t="str">
        <f>IF(C16="","",VLOOKUP(C16,liste!$A$9:$H$145,3,FALSE))</f>
        <v/>
      </c>
      <c r="H16" s="491" t="str">
        <f>IF(C16="","",VLOOKUP(C16,liste!$A$9:$H$145,6,FALSE))</f>
        <v/>
      </c>
      <c r="I16" s="755">
        <v>31</v>
      </c>
      <c r="J16" s="756">
        <f t="shared" si="0"/>
        <v>0</v>
      </c>
    </row>
    <row r="17" spans="1:10" s="482" customFormat="1" ht="20.100000000000001" customHeight="1" x14ac:dyDescent="0.2">
      <c r="A17" s="484">
        <v>12</v>
      </c>
      <c r="B17" s="488" t="str">
        <f>IF(C17="","",VLOOKUP(C17,liste!$A$9:$H$145,7,FALSE))</f>
        <v/>
      </c>
      <c r="C17" s="489" t="str">
        <f>IF(Tableau!AV93="","",IF(Tableau!AV93=Tableau!AW91,Tableau!AW95,IF(Tableau!AV93=Tableau!AW95,Tableau!AW91)))</f>
        <v/>
      </c>
      <c r="D17" s="490" t="str">
        <f>IF(C17="","",VLOOKUP(C17,liste!$A$9:$H$145,2,FALSE))</f>
        <v/>
      </c>
      <c r="E17" s="491" t="str">
        <f>IF(C17="","",VLOOKUP(C17,liste!$A$9:$H$145,4,FALSE))</f>
        <v/>
      </c>
      <c r="F17" s="491" t="str">
        <f>IF(C17="","",VLOOKUP(C17,liste!$A$9:$H$145,5,FALSE))</f>
        <v/>
      </c>
      <c r="G17" s="492" t="str">
        <f>IF(C17="","",VLOOKUP(C17,liste!$A$9:$H$145,3,FALSE))</f>
        <v/>
      </c>
      <c r="H17" s="491" t="str">
        <f>IF(C17="","",VLOOKUP(C17,liste!$A$9:$H$145,6,FALSE))</f>
        <v/>
      </c>
      <c r="I17" s="755">
        <v>30</v>
      </c>
      <c r="J17" s="756">
        <f t="shared" si="0"/>
        <v>0</v>
      </c>
    </row>
    <row r="18" spans="1:10" s="482" customFormat="1" ht="20.100000000000001" customHeight="1" x14ac:dyDescent="0.2">
      <c r="A18" s="484">
        <v>13</v>
      </c>
      <c r="B18" s="488" t="str">
        <f>IF(C18="","",VLOOKUP(C18,liste!$A$9:$H$145,7,FALSE))</f>
        <v/>
      </c>
      <c r="C18" s="489" t="str">
        <f>IF(Tableau!AC83="","",Tableau!AC83)</f>
        <v/>
      </c>
      <c r="D18" s="490" t="str">
        <f>IF(C18="","",VLOOKUP(C18,liste!$A$9:$H$145,2,FALSE))</f>
        <v/>
      </c>
      <c r="E18" s="491" t="str">
        <f>IF(C18="","",VLOOKUP(C18,liste!$A$9:$H$145,4,FALSE))</f>
        <v/>
      </c>
      <c r="F18" s="491" t="str">
        <f>IF(C18="","",VLOOKUP(C18,liste!$A$9:$H$145,5,FALSE))</f>
        <v/>
      </c>
      <c r="G18" s="492" t="str">
        <f>IF(C18="","",VLOOKUP(C18,liste!$A$9:$H$145,3,FALSE))</f>
        <v/>
      </c>
      <c r="H18" s="491" t="str">
        <f>IF(C18="","",VLOOKUP(C18,liste!$A$9:$H$145,6,FALSE))</f>
        <v/>
      </c>
      <c r="I18" s="755">
        <v>29</v>
      </c>
      <c r="J18" s="756">
        <f t="shared" si="0"/>
        <v>0</v>
      </c>
    </row>
    <row r="19" spans="1:10" s="482" customFormat="1" ht="20.100000000000001" customHeight="1" x14ac:dyDescent="0.2">
      <c r="A19" s="484">
        <v>14</v>
      </c>
      <c r="B19" s="488" t="str">
        <f>IF(C19="","",VLOOKUP(C19,liste!$A$9:$H$145,7,FALSE))</f>
        <v/>
      </c>
      <c r="C19" s="489" t="str">
        <f>IF(Tableau!AC83="","",IF(Tableau!AC83=Tableau!AC79,Tableau!AC87,IF(Tableau!AC83=Tableau!AC87,Tableau!AC79)))</f>
        <v/>
      </c>
      <c r="D19" s="490" t="str">
        <f>IF(C19="","",VLOOKUP(C19,liste!$A$9:$H$145,2,FALSE))</f>
        <v/>
      </c>
      <c r="E19" s="491" t="str">
        <f>IF(C19="","",VLOOKUP(C19,liste!$A$9:$H$145,4,FALSE))</f>
        <v/>
      </c>
      <c r="F19" s="491" t="str">
        <f>IF(C19="","",VLOOKUP(C19,liste!$A$9:$H$145,5,FALSE))</f>
        <v/>
      </c>
      <c r="G19" s="492" t="str">
        <f>IF(C19="","",VLOOKUP(C19,liste!$A$9:$H$145,3,FALSE))</f>
        <v/>
      </c>
      <c r="H19" s="491" t="str">
        <f>IF(C19="","",VLOOKUP(C19,liste!$A$9:$H$145,6,FALSE))</f>
        <v/>
      </c>
      <c r="I19" s="755">
        <v>28</v>
      </c>
      <c r="J19" s="756">
        <f t="shared" si="0"/>
        <v>0</v>
      </c>
    </row>
    <row r="20" spans="1:10" s="482" customFormat="1" ht="20.100000000000001" customHeight="1" x14ac:dyDescent="0.2">
      <c r="A20" s="484">
        <v>15</v>
      </c>
      <c r="B20" s="488" t="str">
        <f>IF(C20="","",VLOOKUP(C20,liste!$A$9:$H$145,7,FALSE))</f>
        <v/>
      </c>
      <c r="C20" s="489" t="str">
        <f>IF(Tableau!AD93="","",Tableau!AD93)</f>
        <v/>
      </c>
      <c r="D20" s="490" t="str">
        <f>IF(C20="","",VLOOKUP(C20,liste!$A$9:$H$145,2,FALSE))</f>
        <v/>
      </c>
      <c r="E20" s="491" t="str">
        <f>IF(C20="","",VLOOKUP(C20,liste!$A$9:$H$145,4,FALSE))</f>
        <v/>
      </c>
      <c r="F20" s="491" t="str">
        <f>IF(C20="","",VLOOKUP(C20,liste!$A$9:$H$145,5,FALSE))</f>
        <v/>
      </c>
      <c r="G20" s="492" t="str">
        <f>IF(C20="","",VLOOKUP(C20,liste!$A$9:$H$145,3,FALSE))</f>
        <v/>
      </c>
      <c r="H20" s="491" t="str">
        <f>IF(C20="","",VLOOKUP(C20,liste!$A$9:$H$145,6,FALSE))</f>
        <v/>
      </c>
      <c r="I20" s="755">
        <v>27</v>
      </c>
      <c r="J20" s="756">
        <f t="shared" si="0"/>
        <v>0</v>
      </c>
    </row>
    <row r="21" spans="1:10" s="482" customFormat="1" ht="20.100000000000001" customHeight="1" x14ac:dyDescent="0.2">
      <c r="A21" s="484">
        <v>16</v>
      </c>
      <c r="B21" s="488" t="str">
        <f>IF(C21="","",VLOOKUP(C21,liste!$A$9:$H$145,7,FALSE))</f>
        <v/>
      </c>
      <c r="C21" s="489" t="str">
        <f>IF(Tableau!AD93="","",IF(Tableau!AD93=Tableau!AD91,Tableau!AD95,IF(Tableau!AD93=Tableau!AD95,Tableau!AD91)))</f>
        <v/>
      </c>
      <c r="D21" s="490" t="str">
        <f>IF(C21="","",VLOOKUP(C21,liste!$A$9:$H$145,2,FALSE))</f>
        <v/>
      </c>
      <c r="E21" s="491" t="str">
        <f>IF(C21="","",VLOOKUP(C21,liste!$A$9:$H$145,4,FALSE))</f>
        <v/>
      </c>
      <c r="F21" s="491" t="str">
        <f>IF(C21="","",VLOOKUP(C21,liste!$A$9:$H$145,5,FALSE))</f>
        <v/>
      </c>
      <c r="G21" s="492" t="str">
        <f>IF(C21="","",VLOOKUP(C21,liste!$A$9:$H$145,3,FALSE))</f>
        <v/>
      </c>
      <c r="H21" s="491" t="str">
        <f>IF(C21="","",VLOOKUP(C21,liste!$A$9:$H$145,6,FALSE))</f>
        <v/>
      </c>
      <c r="I21" s="755">
        <v>26</v>
      </c>
      <c r="J21" s="756">
        <f t="shared" si="0"/>
        <v>0</v>
      </c>
    </row>
    <row r="22" spans="1:10" s="482" customFormat="1" ht="20.100000000000001" customHeight="1" x14ac:dyDescent="0.2">
      <c r="A22" s="484">
        <v>17</v>
      </c>
      <c r="B22" s="488" t="str">
        <f>IF(C22="","",VLOOKUP(C22,liste!$A$9:$H$145,7,FALSE))</f>
        <v/>
      </c>
      <c r="C22" s="489" t="str">
        <f>IF(Tableau!A29="","",Tableau!A29)</f>
        <v/>
      </c>
      <c r="D22" s="490" t="str">
        <f>IF(C22="","",VLOOKUP(C22,liste!$A$9:$H$145,2,FALSE))</f>
        <v/>
      </c>
      <c r="E22" s="491" t="str">
        <f>IF(C22="","",VLOOKUP(C22,liste!$A$9:$H$145,4,FALSE))</f>
        <v/>
      </c>
      <c r="F22" s="491" t="str">
        <f>IF(C22="","",VLOOKUP(C22,liste!$A$9:$H$145,5,FALSE))</f>
        <v/>
      </c>
      <c r="G22" s="492" t="str">
        <f>IF(C22="","",VLOOKUP(C22,liste!$A$9:$H$145,3,FALSE))</f>
        <v/>
      </c>
      <c r="H22" s="491" t="str">
        <f>IF(C22="","",VLOOKUP(C22,liste!$A$9:$H$145,6,FALSE))</f>
        <v/>
      </c>
      <c r="I22" s="755">
        <v>23</v>
      </c>
      <c r="J22" s="756">
        <f t="shared" si="0"/>
        <v>0</v>
      </c>
    </row>
    <row r="23" spans="1:10" s="482" customFormat="1" ht="20.100000000000001" customHeight="1" x14ac:dyDescent="0.2">
      <c r="A23" s="484">
        <v>18</v>
      </c>
      <c r="B23" s="488" t="str">
        <f>IF(C23="","",VLOOKUP(C23,liste!$A$9:$H$145,7,FALSE))</f>
        <v/>
      </c>
      <c r="C23" s="489" t="str">
        <f>IF(Tableau!A29="","",IF(Tableau!A29=Tableau!A19,Tableau!A39,IF(Tableau!A29=Tableau!A39,Tableau!A19)))</f>
        <v/>
      </c>
      <c r="D23" s="490" t="str">
        <f>IF(C23="","",VLOOKUP(C23,liste!$A$9:$H$145,2,FALSE))</f>
        <v/>
      </c>
      <c r="E23" s="491" t="str">
        <f>IF(C23="","",VLOOKUP(C23,liste!$A$9:$H$145,4,FALSE))</f>
        <v/>
      </c>
      <c r="F23" s="491" t="str">
        <f>IF(C23="","",VLOOKUP(C23,liste!$A$9:$H$145,5,FALSE))</f>
        <v/>
      </c>
      <c r="G23" s="492" t="str">
        <f>IF(C23="","",VLOOKUP(C23,liste!$A$9:$H$145,3,FALSE))</f>
        <v/>
      </c>
      <c r="H23" s="491" t="str">
        <f>IF(C23="","",VLOOKUP(C23,liste!$A$9:$H$145,6,FALSE))</f>
        <v/>
      </c>
      <c r="I23" s="755">
        <v>20</v>
      </c>
      <c r="J23" s="756">
        <f t="shared" si="0"/>
        <v>0</v>
      </c>
    </row>
    <row r="24" spans="1:10" s="482" customFormat="1" ht="20.100000000000001" customHeight="1" x14ac:dyDescent="0.2">
      <c r="A24" s="484">
        <v>19</v>
      </c>
      <c r="B24" s="488" t="str">
        <f>IF(C24="","",VLOOKUP(C24,liste!$A$9:$H$145,7,FALSE))</f>
        <v/>
      </c>
      <c r="C24" s="489" t="str">
        <f>IF(Tableau!F59="","",Tableau!F59)</f>
        <v/>
      </c>
      <c r="D24" s="490" t="str">
        <f>IF(C24="","",VLOOKUP(C24,liste!$A$9:$H$145,2,FALSE))</f>
        <v/>
      </c>
      <c r="E24" s="491" t="str">
        <f>IF(C24="","",VLOOKUP(C24,liste!$A$9:$H$145,4,FALSE))</f>
        <v/>
      </c>
      <c r="F24" s="491" t="str">
        <f>IF(C24="","",VLOOKUP(C24,liste!$A$9:$H$145,5,FALSE))</f>
        <v/>
      </c>
      <c r="G24" s="492" t="str">
        <f>IF(C24="","",VLOOKUP(C24,liste!$A$9:$H$145,3,FALSE))</f>
        <v/>
      </c>
      <c r="H24" s="491" t="str">
        <f>IF(C24="","",VLOOKUP(C24,liste!$A$9:$H$145,6,FALSE))</f>
        <v/>
      </c>
      <c r="I24" s="755">
        <v>17</v>
      </c>
      <c r="J24" s="756">
        <f t="shared" si="0"/>
        <v>0</v>
      </c>
    </row>
    <row r="25" spans="1:10" s="482" customFormat="1" ht="20.100000000000001" customHeight="1" x14ac:dyDescent="0.2">
      <c r="A25" s="484">
        <v>20</v>
      </c>
      <c r="B25" s="488" t="str">
        <f>IF(C25="","",VLOOKUP(C25,liste!$A$9:$H$145,7,FALSE))</f>
        <v/>
      </c>
      <c r="C25" s="489" t="str">
        <f>IF(Tableau!F59="","",IF(Tableau!F59=Tableau!K58,Tableau!K60,IF(Tableau!F59=Tableau!K60,Tableau!K58)))</f>
        <v/>
      </c>
      <c r="D25" s="490" t="str">
        <f>IF(C25="","",VLOOKUP(C25,liste!$A$9:$H$145,2,FALSE))</f>
        <v/>
      </c>
      <c r="E25" s="491" t="str">
        <f>IF(C25="","",VLOOKUP(C25,liste!$A$9:$H$145,4,FALSE))</f>
        <v/>
      </c>
      <c r="F25" s="491" t="str">
        <f>IF(C25="","",VLOOKUP(C25,liste!$A$9:$H$145,5,FALSE))</f>
        <v/>
      </c>
      <c r="G25" s="492" t="str">
        <f>IF(C25="","",VLOOKUP(C25,liste!$A$9:$H$145,3,FALSE))</f>
        <v/>
      </c>
      <c r="H25" s="491" t="str">
        <f>IF(C25="","",VLOOKUP(C25,liste!$A$9:$H$145,6,FALSE))</f>
        <v/>
      </c>
      <c r="I25" s="755">
        <v>15</v>
      </c>
      <c r="J25" s="756">
        <f t="shared" si="0"/>
        <v>0</v>
      </c>
    </row>
    <row r="26" spans="1:10" s="482" customFormat="1" ht="20.100000000000001" customHeight="1" x14ac:dyDescent="0.2">
      <c r="A26" s="484">
        <v>21</v>
      </c>
      <c r="B26" s="488" t="str">
        <f>IF(C26="","",VLOOKUP(C26,liste!$A$9:$H$145,7,FALSE))</f>
        <v/>
      </c>
      <c r="C26" s="489" t="str">
        <f>IF(Tableau!V68="","",Tableau!V68)</f>
        <v/>
      </c>
      <c r="D26" s="490" t="str">
        <f>IF(C26="","",VLOOKUP(C26,liste!$A$9:$H$145,2,FALSE))</f>
        <v/>
      </c>
      <c r="E26" s="491" t="str">
        <f>IF(C26="","",VLOOKUP(C26,liste!$A$9:$H$145,4,FALSE))</f>
        <v/>
      </c>
      <c r="F26" s="491" t="str">
        <f>IF(C26="","",VLOOKUP(C26,liste!$A$9:$H$145,5,FALSE))</f>
        <v/>
      </c>
      <c r="G26" s="492" t="str">
        <f>IF(C26="","",VLOOKUP(C26,liste!$A$9:$H$145,3,FALSE))</f>
        <v/>
      </c>
      <c r="H26" s="491" t="str">
        <f>IF(C26="","",VLOOKUP(C26,liste!$A$9:$H$145,6,FALSE))</f>
        <v/>
      </c>
      <c r="I26" s="755">
        <v>13</v>
      </c>
      <c r="J26" s="756">
        <f t="shared" si="0"/>
        <v>0</v>
      </c>
    </row>
    <row r="27" spans="1:10" s="482" customFormat="1" ht="20.100000000000001" customHeight="1" x14ac:dyDescent="0.2">
      <c r="A27" s="484">
        <v>22</v>
      </c>
      <c r="B27" s="488" t="str">
        <f>IF(C27="","",VLOOKUP(C27,liste!$A$9:$H$145,7,FALSE))</f>
        <v/>
      </c>
      <c r="C27" s="489" t="str">
        <f>IF(Tableau!V68="","",IF(Tableau!V68=Tableau!Q66,Tableau!Q70,IF(Tableau!V68=Tableau!Q70,Tableau!Q66)))</f>
        <v/>
      </c>
      <c r="D27" s="490" t="str">
        <f>IF(C27="","",VLOOKUP(C27,liste!$A$9:$H$145,2,FALSE))</f>
        <v/>
      </c>
      <c r="E27" s="491" t="str">
        <f>IF(C27="","",VLOOKUP(C27,liste!$A$9:$H$145,4,FALSE))</f>
        <v/>
      </c>
      <c r="F27" s="491" t="str">
        <f>IF(C27="","",VLOOKUP(C27,liste!$A$9:$H$145,5,FALSE))</f>
        <v/>
      </c>
      <c r="G27" s="492" t="str">
        <f>IF(C27="","",VLOOKUP(C27,liste!$A$9:$H$145,3,FALSE))</f>
        <v/>
      </c>
      <c r="H27" s="491" t="str">
        <f>IF(C27="","",VLOOKUP(C27,liste!$A$9:$H$145,6,FALSE))</f>
        <v/>
      </c>
      <c r="I27" s="755">
        <v>12</v>
      </c>
      <c r="J27" s="756">
        <f t="shared" si="0"/>
        <v>0</v>
      </c>
    </row>
    <row r="28" spans="1:10" s="482" customFormat="1" ht="20.100000000000001" customHeight="1" x14ac:dyDescent="0.2">
      <c r="A28" s="484">
        <v>23</v>
      </c>
      <c r="B28" s="488" t="str">
        <f>IF(C28="","",VLOOKUP(C28,liste!$A$9:$H$145,7,FALSE))</f>
        <v/>
      </c>
      <c r="C28" s="489" t="str">
        <f>IF(Tableau!A68="","",Tableau!A68)</f>
        <v/>
      </c>
      <c r="D28" s="490" t="str">
        <f>IF(C28="","",VLOOKUP(C28,liste!$A$9:$H$145,2,FALSE))</f>
        <v/>
      </c>
      <c r="E28" s="491" t="str">
        <f>IF(C28="","",VLOOKUP(C28,liste!$A$9:$H$145,4,FALSE))</f>
        <v/>
      </c>
      <c r="F28" s="491" t="str">
        <f>IF(C28="","",VLOOKUP(C28,liste!$A$9:$H$145,5,FALSE))</f>
        <v/>
      </c>
      <c r="G28" s="492" t="str">
        <f>IF(C28="","",VLOOKUP(C28,liste!$A$9:$H$145,3,FALSE))</f>
        <v/>
      </c>
      <c r="H28" s="491" t="str">
        <f>IF(C28="","",VLOOKUP(C28,liste!$A$9:$H$145,6,FALSE))</f>
        <v/>
      </c>
      <c r="I28" s="755">
        <v>11</v>
      </c>
      <c r="J28" s="756">
        <f t="shared" si="0"/>
        <v>0</v>
      </c>
    </row>
    <row r="29" spans="1:10" s="482" customFormat="1" ht="20.100000000000001" customHeight="1" x14ac:dyDescent="0.2">
      <c r="A29" s="484">
        <v>24</v>
      </c>
      <c r="B29" s="488" t="str">
        <f>IF(C29="","",VLOOKUP(C29,liste!$A$9:$H$145,7,FALSE))</f>
        <v/>
      </c>
      <c r="C29" s="489" t="str">
        <f>IF(Tableau!A68="","",IF(Tableau!A68=Tableau!F66,Tableau!F70,IF(Tableau!A68=Tableau!F70,Tableau!F66)))</f>
        <v/>
      </c>
      <c r="D29" s="490" t="str">
        <f>IF(C29="","",VLOOKUP(C29,liste!$A$9:$H$145,2,FALSE))</f>
        <v/>
      </c>
      <c r="E29" s="491" t="str">
        <f>IF(C29="","",VLOOKUP(C29,liste!$A$9:$H$145,4,FALSE))</f>
        <v/>
      </c>
      <c r="F29" s="491" t="str">
        <f>IF(C29="","",VLOOKUP(C29,liste!$A$9:$H$145,5,FALSE))</f>
        <v/>
      </c>
      <c r="G29" s="492" t="str">
        <f>IF(C29="","",VLOOKUP(C29,liste!$A$9:$H$145,3,FALSE))</f>
        <v/>
      </c>
      <c r="H29" s="491" t="str">
        <f>IF(C29="","",VLOOKUP(C29,liste!$A$9:$H$145,6,FALSE))</f>
        <v/>
      </c>
      <c r="I29" s="755">
        <v>10</v>
      </c>
      <c r="J29" s="756">
        <f t="shared" si="0"/>
        <v>0</v>
      </c>
    </row>
    <row r="30" spans="1:10" s="482" customFormat="1" ht="20.100000000000001" customHeight="1" x14ac:dyDescent="0.2">
      <c r="A30" s="484">
        <v>25</v>
      </c>
      <c r="B30" s="488" t="str">
        <f>IF(C30="","",VLOOKUP(C30,liste!$A$9:$H$145,7,FALSE))</f>
        <v/>
      </c>
      <c r="C30" s="489" t="str">
        <f>IF(Tableau!U83="","",Tableau!U83)</f>
        <v/>
      </c>
      <c r="D30" s="490" t="str">
        <f>IF(C30="","",VLOOKUP(C30,liste!$A$9:$H$145,2,FALSE))</f>
        <v/>
      </c>
      <c r="E30" s="491" t="str">
        <f>IF(C30="","",VLOOKUP(C30,liste!$A$9:$H$145,4,FALSE))</f>
        <v/>
      </c>
      <c r="F30" s="491" t="str">
        <f>IF(C30="","",VLOOKUP(C30,liste!$A$9:$H$145,5,FALSE))</f>
        <v/>
      </c>
      <c r="G30" s="492" t="str">
        <f>IF(C30="","",VLOOKUP(C30,liste!$A$9:$H$145,3,FALSE))</f>
        <v/>
      </c>
      <c r="H30" s="491" t="str">
        <f>IF(C30="","",VLOOKUP(C30,liste!$A$9:$H$145,6,FALSE))</f>
        <v/>
      </c>
      <c r="I30" s="755">
        <v>9</v>
      </c>
      <c r="J30" s="756">
        <f t="shared" si="0"/>
        <v>0</v>
      </c>
    </row>
    <row r="31" spans="1:10" s="482" customFormat="1" ht="20.100000000000001" customHeight="1" x14ac:dyDescent="0.2">
      <c r="A31" s="484">
        <v>26</v>
      </c>
      <c r="B31" s="488" t="str">
        <f>IF(C31="","",VLOOKUP(C31,liste!$A$9:$H$145,7,FALSE))</f>
        <v/>
      </c>
      <c r="C31" s="489" t="str">
        <f>IF(Tableau!U83="","",IF(Tableau!U83=Tableau!V79,Tableau!V87,IF(Tableau!U83=Tableau!V87,Tableau!V79)))</f>
        <v/>
      </c>
      <c r="D31" s="490" t="str">
        <f>IF(C31="","",VLOOKUP(C31,liste!$A$9:$H$145,2,FALSE))</f>
        <v/>
      </c>
      <c r="E31" s="491" t="str">
        <f>IF(C31="","",VLOOKUP(C31,liste!$A$9:$H$145,4,FALSE))</f>
        <v/>
      </c>
      <c r="F31" s="491" t="str">
        <f>IF(C31="","",VLOOKUP(C31,liste!$A$9:$H$145,5,FALSE))</f>
        <v/>
      </c>
      <c r="G31" s="492" t="str">
        <f>IF(C31="","",VLOOKUP(C31,liste!$A$9:$H$145,3,FALSE))</f>
        <v/>
      </c>
      <c r="H31" s="491" t="str">
        <f>IF(C31="","",VLOOKUP(C31,liste!$A$9:$H$145,6,FALSE))</f>
        <v/>
      </c>
      <c r="I31" s="755">
        <v>8</v>
      </c>
      <c r="J31" s="756">
        <f t="shared" si="0"/>
        <v>0</v>
      </c>
    </row>
    <row r="32" spans="1:10" s="482" customFormat="1" ht="20.100000000000001" customHeight="1" x14ac:dyDescent="0.2">
      <c r="A32" s="484">
        <v>27</v>
      </c>
      <c r="B32" s="488" t="str">
        <f>IF(C32="","",VLOOKUP(C32,liste!$A$9:$H$145,7,FALSE))</f>
        <v/>
      </c>
      <c r="C32" s="489" t="str">
        <f>IF(Tableau!U93="","",Tableau!U93)</f>
        <v/>
      </c>
      <c r="D32" s="490" t="str">
        <f>IF(C32="","",VLOOKUP(C32,liste!$A$9:$H$145,2,FALSE))</f>
        <v/>
      </c>
      <c r="E32" s="491" t="str">
        <f>IF(C32="","",VLOOKUP(C32,liste!$A$9:$H$145,4,FALSE))</f>
        <v/>
      </c>
      <c r="F32" s="491" t="str">
        <f>IF(C32="","",VLOOKUP(C32,liste!$A$9:$H$145,5,FALSE))</f>
        <v/>
      </c>
      <c r="G32" s="492" t="str">
        <f>IF(C32="","",VLOOKUP(C32,liste!$A$9:$H$145,3,FALSE))</f>
        <v/>
      </c>
      <c r="H32" s="491" t="str">
        <f>IF(C32="","",VLOOKUP(C32,liste!$A$9:$H$145,6,FALSE))</f>
        <v/>
      </c>
      <c r="I32" s="755">
        <v>7</v>
      </c>
      <c r="J32" s="756">
        <f t="shared" si="0"/>
        <v>0</v>
      </c>
    </row>
    <row r="33" spans="1:10" s="482" customFormat="1" ht="20.100000000000001" customHeight="1" x14ac:dyDescent="0.2">
      <c r="A33" s="484">
        <v>28</v>
      </c>
      <c r="B33" s="488" t="str">
        <f>IF(C33="","",VLOOKUP(C33,liste!$A$9:$H$145,7,FALSE))</f>
        <v/>
      </c>
      <c r="C33" s="489" t="str">
        <f>IF(Tableau!U93="","",IF(Tableau!U93=Tableau!V91,Tableau!V95,IF(Tableau!U93=Tableau!V95,Tableau!V91)))</f>
        <v/>
      </c>
      <c r="D33" s="490" t="str">
        <f>IF(C33="","",VLOOKUP(C33,liste!$A$9:$H$145,2,FALSE))</f>
        <v/>
      </c>
      <c r="E33" s="491" t="str">
        <f>IF(C33="","",VLOOKUP(C33,liste!$A$9:$H$145,4,FALSE))</f>
        <v/>
      </c>
      <c r="F33" s="491" t="str">
        <f>IF(C33="","",VLOOKUP(C33,liste!$A$9:$H$145,5,FALSE))</f>
        <v/>
      </c>
      <c r="G33" s="492" t="str">
        <f>IF(C33="","",VLOOKUP(C33,liste!$A$9:$H$145,3,FALSE))</f>
        <v/>
      </c>
      <c r="H33" s="491" t="str">
        <f>IF(C33="","",VLOOKUP(C33,liste!$A$9:$H$145,6,FALSE))</f>
        <v/>
      </c>
      <c r="I33" s="755">
        <v>6</v>
      </c>
      <c r="J33" s="756">
        <f t="shared" si="0"/>
        <v>0</v>
      </c>
    </row>
    <row r="34" spans="1:10" s="482" customFormat="1" ht="20.100000000000001" customHeight="1" x14ac:dyDescent="0.2">
      <c r="A34" s="484">
        <v>29</v>
      </c>
      <c r="B34" s="488" t="str">
        <f>IF(C34="","",VLOOKUP(C34,liste!$A$9:$H$145,7,FALSE))</f>
        <v/>
      </c>
      <c r="C34" s="489" t="str">
        <f>IF(Tableau!B83="","",Tableau!B83)</f>
        <v/>
      </c>
      <c r="D34" s="490" t="str">
        <f>IF(C34="","",VLOOKUP(C34,liste!$A$9:$H$145,2,FALSE))</f>
        <v/>
      </c>
      <c r="E34" s="491" t="str">
        <f>IF(C34="","",VLOOKUP(C34,liste!$A$9:$H$145,4,FALSE))</f>
        <v/>
      </c>
      <c r="F34" s="491" t="str">
        <f>IF(C34="","",VLOOKUP(C34,liste!$A$9:$H$145,5,FALSE))</f>
        <v/>
      </c>
      <c r="G34" s="492" t="str">
        <f>IF(C34="","",VLOOKUP(C34,liste!$A$9:$H$145,3,FALSE))</f>
        <v/>
      </c>
      <c r="H34" s="491" t="str">
        <f>IF(C34="","",VLOOKUP(C34,liste!$A$9:$H$145,6,FALSE))</f>
        <v/>
      </c>
      <c r="I34" s="755">
        <v>5</v>
      </c>
      <c r="J34" s="756">
        <f t="shared" si="0"/>
        <v>0</v>
      </c>
    </row>
    <row r="35" spans="1:10" s="482" customFormat="1" ht="20.100000000000001" customHeight="1" x14ac:dyDescent="0.2">
      <c r="A35" s="484">
        <v>30</v>
      </c>
      <c r="B35" s="488" t="str">
        <f>IF(C35="","",VLOOKUP(C35,liste!$A$9:$H$145,7,FALSE))</f>
        <v/>
      </c>
      <c r="C35" s="489" t="str">
        <f>IF(Tableau!B83="","",IF(Tableau!B83=Tableau!B79,Tableau!B87,IF(Tableau!B83=Tableau!B87,Tableau!B79)))</f>
        <v/>
      </c>
      <c r="D35" s="490" t="str">
        <f>IF(C35="","",VLOOKUP(C35,liste!$A$9:$H$145,2,FALSE))</f>
        <v/>
      </c>
      <c r="E35" s="491" t="str">
        <f>IF(C35="","",VLOOKUP(C35,liste!$A$9:$H$145,4,FALSE))</f>
        <v/>
      </c>
      <c r="F35" s="491" t="str">
        <f>IF(C35="","",VLOOKUP(C35,liste!$A$9:$H$145,5,FALSE))</f>
        <v/>
      </c>
      <c r="G35" s="492" t="str">
        <f>IF(C35="","",VLOOKUP(C35,liste!$A$9:$H$145,3,FALSE))</f>
        <v/>
      </c>
      <c r="H35" s="491" t="str">
        <f>IF(C35="","",VLOOKUP(C35,liste!$A$9:$H$145,6,FALSE))</f>
        <v/>
      </c>
      <c r="I35" s="755">
        <v>4</v>
      </c>
      <c r="J35" s="756">
        <f t="shared" si="0"/>
        <v>0</v>
      </c>
    </row>
    <row r="36" spans="1:10" s="482" customFormat="1" ht="20.100000000000001" customHeight="1" x14ac:dyDescent="0.2">
      <c r="A36" s="484">
        <v>31</v>
      </c>
      <c r="B36" s="488" t="str">
        <f>IF(C36="","",VLOOKUP(C36,liste!$A$9:$H$145,7,FALSE))</f>
        <v/>
      </c>
      <c r="C36" s="489" t="str">
        <f>IF(Tableau!B93="","",Tableau!B93)</f>
        <v/>
      </c>
      <c r="D36" s="490" t="str">
        <f>IF(C36="","",VLOOKUP(C36,liste!$A$9:$H$145,2,FALSE))</f>
        <v/>
      </c>
      <c r="E36" s="491" t="str">
        <f>IF(C36="","",VLOOKUP(C36,liste!$A$9:$H$145,4,FALSE))</f>
        <v/>
      </c>
      <c r="F36" s="491" t="str">
        <f>IF(C36="","",VLOOKUP(C36,liste!$A$9:$H$145,5,FALSE))</f>
        <v/>
      </c>
      <c r="G36" s="492" t="str">
        <f>IF(C36="","",VLOOKUP(C36,liste!$A$9:$H$145,3,FALSE))</f>
        <v/>
      </c>
      <c r="H36" s="491" t="str">
        <f>IF(C36="","",VLOOKUP(C36,liste!$A$9:$H$145,6,FALSE))</f>
        <v/>
      </c>
      <c r="I36" s="755">
        <v>3</v>
      </c>
      <c r="J36" s="756">
        <f t="shared" si="0"/>
        <v>0</v>
      </c>
    </row>
    <row r="37" spans="1:10" s="482" customFormat="1" ht="20.100000000000001" customHeight="1" x14ac:dyDescent="0.2">
      <c r="A37" s="484">
        <v>32</v>
      </c>
      <c r="B37" s="488" t="str">
        <f>IF(C37="","",VLOOKUP(C37,liste!$A$9:$H$145,7,FALSE))</f>
        <v/>
      </c>
      <c r="C37" s="489" t="str">
        <f>IF(Tableau!B93="","",IF(Tableau!B93=Tableau!B91,Tableau!B95,IF(Tableau!B93=Tableau!B95,Tableau!B91)))</f>
        <v/>
      </c>
      <c r="D37" s="490" t="str">
        <f>IF(C37="","",VLOOKUP(C37,liste!$A$9:$H$145,2,FALSE))</f>
        <v/>
      </c>
      <c r="E37" s="491" t="str">
        <f>IF(C37="","",VLOOKUP(C37,liste!$A$9:$H$145,4,FALSE))</f>
        <v/>
      </c>
      <c r="F37" s="491" t="str">
        <f>IF(C37="","",VLOOKUP(C37,liste!$A$9:$H$145,5,FALSE))</f>
        <v/>
      </c>
      <c r="G37" s="492" t="str">
        <f>IF(C37="","",VLOOKUP(C37,liste!$A$9:$H$145,3,FALSE))</f>
        <v/>
      </c>
      <c r="H37" s="491" t="str">
        <f>IF(C37="","",VLOOKUP(C37,liste!$A$9:$H$145,6,FALSE))</f>
        <v/>
      </c>
      <c r="I37" s="755">
        <v>2</v>
      </c>
      <c r="J37" s="756">
        <f t="shared" si="0"/>
        <v>0</v>
      </c>
    </row>
    <row r="39" spans="1:10" ht="15.75" x14ac:dyDescent="0.25">
      <c r="C39" s="493"/>
      <c r="D39" s="493" t="s">
        <v>294</v>
      </c>
    </row>
    <row r="40" spans="1:10" ht="15.75" x14ac:dyDescent="0.25">
      <c r="E40" s="493">
        <f>liste!$B$145</f>
        <v>0</v>
      </c>
    </row>
  </sheetData>
  <sheetProtection sheet="1" objects="1" scenarios="1" selectLockedCells="1"/>
  <mergeCells count="6">
    <mergeCell ref="A1:J1"/>
    <mergeCell ref="F3:J3"/>
    <mergeCell ref="A2:E2"/>
    <mergeCell ref="F2:G2"/>
    <mergeCell ref="H2:I2"/>
    <mergeCell ref="A3:E3"/>
  </mergeCells>
  <phoneticPr fontId="0" type="noConversion"/>
  <conditionalFormatting sqref="A1:J44">
    <cfRule type="cellIs" dxfId="0" priority="1" operator="equal">
      <formula>0</formula>
    </cfRule>
  </conditionalFormatting>
  <printOptions horizontalCentered="1"/>
  <pageMargins left="0.11811023622047245" right="0.15748031496062992" top="0.39370078740157483" bottom="0.51181102362204722" header="0.51181102362204722" footer="0.39370078740157483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23</vt:i4>
      </vt:variant>
    </vt:vector>
  </HeadingPairs>
  <TitlesOfParts>
    <vt:vector size="33" baseType="lpstr">
      <vt:lpstr>Rens</vt:lpstr>
      <vt:lpstr>liste</vt:lpstr>
      <vt:lpstr>Poules A-B</vt:lpstr>
      <vt:lpstr>Poules C-D</vt:lpstr>
      <vt:lpstr>Poules E-F</vt:lpstr>
      <vt:lpstr>Poules G-H</vt:lpstr>
      <vt:lpstr>Récapitulatif des poules</vt:lpstr>
      <vt:lpstr>Tableau</vt:lpstr>
      <vt:lpstr>Classement</vt:lpstr>
      <vt:lpstr>Parties</vt:lpstr>
      <vt:lpstr>blanc</vt:lpstr>
      <vt:lpstr>Tableau!clpo</vt:lpstr>
      <vt:lpstr>liste!Impression_des_titres</vt:lpstr>
      <vt:lpstr>Tableau!Impression_des_titres</vt:lpstr>
      <vt:lpstr>Tableau!pltab</vt:lpstr>
      <vt:lpstr>Tableau!poA</vt:lpstr>
      <vt:lpstr>Tableau!poB</vt:lpstr>
      <vt:lpstr>Tableau!poC</vt:lpstr>
      <vt:lpstr>Tableau!poD</vt:lpstr>
      <vt:lpstr>Tableau!poE</vt:lpstr>
      <vt:lpstr>Tableau!poF</vt:lpstr>
      <vt:lpstr>Tableau!poG</vt:lpstr>
      <vt:lpstr>Tableau!poH</vt:lpstr>
      <vt:lpstr>Tableau!ponum</vt:lpstr>
      <vt:lpstr>Tableau!TF</vt:lpstr>
      <vt:lpstr>Tableau!TIR</vt:lpstr>
      <vt:lpstr>liste!Zone_d_impression</vt:lpstr>
      <vt:lpstr>'Poules A-B'!Zone_d_impression</vt:lpstr>
      <vt:lpstr>'Poules C-D'!Zone_d_impression</vt:lpstr>
      <vt:lpstr>'Poules E-F'!Zone_d_impression</vt:lpstr>
      <vt:lpstr>'Poules G-H'!Zone_d_impression</vt:lpstr>
      <vt:lpstr>'Récapitulatif des poules'!Zone_d_impression</vt:lpstr>
      <vt:lpstr>Tableau!Zone_d_impression</vt:lpstr>
    </vt:vector>
  </TitlesOfParts>
  <Manager>Informatique CFA</Manager>
  <Company>FFTT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32 - choix B1</dc:title>
  <dc:subject>Tableau 32 joueurs à classement intégral</dc:subject>
  <dc:creator>VIGNERON Michel</dc:creator>
  <cp:lastModifiedBy>CD 72 Guillaume</cp:lastModifiedBy>
  <cp:lastPrinted>2018-04-06T16:40:38Z</cp:lastPrinted>
  <dcterms:created xsi:type="dcterms:W3CDTF">1999-11-26T10:36:49Z</dcterms:created>
  <dcterms:modified xsi:type="dcterms:W3CDTF">2018-11-16T15:13:38Z</dcterms:modified>
</cp:coreProperties>
</file>