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D 72 Guillaume\Desktop\Circuit 2018\"/>
    </mc:Choice>
  </mc:AlternateContent>
  <bookViews>
    <workbookView xWindow="0" yWindow="0" windowWidth="20490" windowHeight="7755" tabRatio="741" activeTab="4"/>
  </bookViews>
  <sheets>
    <sheet name="Rens" sheetId="44" r:id="rId1"/>
    <sheet name="liste" sheetId="16" r:id="rId2"/>
    <sheet name="Poules A-B" sheetId="13" r:id="rId3"/>
    <sheet name="Poules C-D" sheetId="34" r:id="rId4"/>
    <sheet name="Récapitulatif des poules" sheetId="41" r:id="rId5"/>
    <sheet name="Tableau" sheetId="37" r:id="rId6"/>
    <sheet name="Classement" sheetId="42" r:id="rId7"/>
    <sheet name="Parties" sheetId="3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1">[1]liste!#REF!</definedName>
    <definedName name="_dat1">[1]liste!#REF!</definedName>
    <definedName name="_or1">[1]liste!#REF!</definedName>
    <definedName name="_or2">[1]liste!#REF!</definedName>
    <definedName name="blanc">'Poules A-B'!$AC$3</definedName>
    <definedName name="clpo" localSheetId="5">Tableau!$AG$2:$AH$20</definedName>
    <definedName name="comp1">[1]liste!#REF!</definedName>
    <definedName name="compétition" localSheetId="6">[2]Engagés!$A$5</definedName>
    <definedName name="compétition" localSheetId="5">[2]Engagés!$A$5</definedName>
    <definedName name="date" localSheetId="6">[2]Engagés!$B$4</definedName>
    <definedName name="épreuve" localSheetId="1">[3]Engagés!$A$5</definedName>
    <definedName name="épreuve">[4]Engagés!$A$5</definedName>
    <definedName name="_xlnm.Print_Titles" localSheetId="1">liste!$1:$8</definedName>
    <definedName name="lieu" localSheetId="6">[2]Engagés!$A$7</definedName>
    <definedName name="lieu">[5]Engagés!$A$7</definedName>
    <definedName name="organisateur1">[2]Engagés!$A$1</definedName>
    <definedName name="organisateur2">[2]Engagés!$A$2</definedName>
    <definedName name="poA" localSheetId="5">Tableau!$N$41</definedName>
    <definedName name="poB" localSheetId="5">Tableau!$O$41</definedName>
    <definedName name="poC" localSheetId="5">Tableau!$P$41</definedName>
    <definedName name="poD" localSheetId="5">Tableau!$Q$41</definedName>
    <definedName name="ponum" localSheetId="5">Tableau!$AJ$2:$AJ$20</definedName>
    <definedName name="saison" localSheetId="6">[2]Engagés!$H$1</definedName>
    <definedName name="saison" localSheetId="5">[2]Engagés!$H$1</definedName>
    <definedName name="saison">'[6]Engagés DXJ'!$R$1</definedName>
    <definedName name="tableau" localSheetId="6">[2]Engagés!$A$6</definedName>
    <definedName name="tableau" localSheetId="1">[2]Engagés!$A$6</definedName>
    <definedName name="tableau" localSheetId="5">[2]Engagés!$A$6</definedName>
    <definedName name="tableau">[4]Engagés!$A$6</definedName>
    <definedName name="TF" localSheetId="5">Tableau!$T$45</definedName>
    <definedName name="TIR" localSheetId="5">Tableau!$AI$2:$AL$20</definedName>
    <definedName name="tour" localSheetId="6">[2]Engagés!$D$8</definedName>
    <definedName name="tour">[7]liste!#REF!</definedName>
    <definedName name="_xlnm.Print_Area" localSheetId="1">liste!$A:$G</definedName>
    <definedName name="_xlnm.Print_Area" localSheetId="2">'Poules A-B'!$A$1:$AA$58</definedName>
    <definedName name="_xlnm.Print_Area" localSheetId="3">'Poules C-D'!$A$1:$AA$58</definedName>
    <definedName name="_xlnm.Print_Area" localSheetId="4">'Récapitulatif des poules'!$A$1:$AA$45</definedName>
    <definedName name="_xlnm.Print_Area" localSheetId="5">Tableau!$A$1:$AD$45</definedName>
  </definedNames>
  <calcPr calcId="162913" iterate="1"/>
</workbook>
</file>

<file path=xl/calcChain.xml><?xml version="1.0" encoding="utf-8"?>
<calcChain xmlns="http://schemas.openxmlformats.org/spreadsheetml/2006/main">
  <c r="F4" i="44" l="1"/>
  <c r="H43" i="41" l="1"/>
  <c r="A1" i="41"/>
  <c r="A3" i="41"/>
  <c r="E1" i="42"/>
  <c r="C28" i="42"/>
  <c r="E5" i="42"/>
  <c r="E4" i="42"/>
  <c r="E3" i="42"/>
  <c r="E2" i="42"/>
  <c r="O4" i="37"/>
  <c r="O3" i="37"/>
  <c r="Z50" i="34" l="1"/>
  <c r="AA50" i="34" s="1"/>
  <c r="X49" i="34"/>
  <c r="Y49" i="34" s="1"/>
  <c r="Y48" i="34"/>
  <c r="AA48" i="34" s="1"/>
  <c r="X47" i="34"/>
  <c r="Z47" i="34" s="1"/>
  <c r="Y46" i="34"/>
  <c r="Z46" i="34" s="1"/>
  <c r="X45" i="34"/>
  <c r="AA45" i="34" s="1"/>
  <c r="Z21" i="34"/>
  <c r="AA21" i="34" s="1"/>
  <c r="X20" i="34"/>
  <c r="Y20" i="34" s="1"/>
  <c r="Y19" i="34"/>
  <c r="AA19" i="34" s="1"/>
  <c r="X18" i="34"/>
  <c r="Z18" i="34" s="1"/>
  <c r="Y17" i="34"/>
  <c r="Z17" i="34" s="1"/>
  <c r="X16" i="34"/>
  <c r="X22" i="34" s="1"/>
  <c r="Z50" i="13"/>
  <c r="AA50" i="13" s="1"/>
  <c r="X49" i="13"/>
  <c r="Y49" i="13" s="1"/>
  <c r="Y48" i="13"/>
  <c r="AA48" i="13"/>
  <c r="X47" i="13"/>
  <c r="Z47" i="13" s="1"/>
  <c r="Y46" i="13"/>
  <c r="Z46" i="13" s="1"/>
  <c r="X45" i="13"/>
  <c r="AA45" i="13" s="1"/>
  <c r="Z21" i="13"/>
  <c r="AA21" i="13" s="1"/>
  <c r="X20" i="13"/>
  <c r="Y20" i="13" s="1"/>
  <c r="Y19" i="13"/>
  <c r="AA19" i="13" s="1"/>
  <c r="X18" i="13"/>
  <c r="Z18" i="13" s="1"/>
  <c r="Y17" i="13"/>
  <c r="Z17" i="13" s="1"/>
  <c r="X16" i="13"/>
  <c r="AA22" i="13" s="1"/>
  <c r="A5" i="16"/>
  <c r="A4" i="16"/>
  <c r="A349" i="36" s="1"/>
  <c r="C12" i="13"/>
  <c r="AG12" i="13" s="1"/>
  <c r="C41" i="13"/>
  <c r="AG41" i="13" s="1"/>
  <c r="C12" i="34"/>
  <c r="C41" i="34"/>
  <c r="AG41" i="34" s="1"/>
  <c r="C40" i="34"/>
  <c r="O40" i="34" s="1"/>
  <c r="C11" i="34"/>
  <c r="Q11" i="34" s="1"/>
  <c r="C40" i="13"/>
  <c r="Q40" i="13" s="1"/>
  <c r="C11" i="13"/>
  <c r="F11" i="13" s="1"/>
  <c r="G11" i="13" s="1"/>
  <c r="H11" i="13" s="1"/>
  <c r="C10" i="13"/>
  <c r="O10" i="13" s="1"/>
  <c r="C39" i="13"/>
  <c r="AG39" i="13" s="1"/>
  <c r="C10" i="34"/>
  <c r="O10" i="34" s="1"/>
  <c r="C39" i="34"/>
  <c r="I39" i="34" s="1"/>
  <c r="C38" i="34"/>
  <c r="C34" i="41" s="1"/>
  <c r="F34" i="41" s="1"/>
  <c r="G34" i="41" s="1"/>
  <c r="H34" i="41" s="1"/>
  <c r="C9" i="34"/>
  <c r="I9" i="34" s="1"/>
  <c r="C38" i="13"/>
  <c r="F38" i="13" s="1"/>
  <c r="G38" i="13" s="1"/>
  <c r="H38" i="13" s="1"/>
  <c r="AA39" i="37"/>
  <c r="AJ25" i="13"/>
  <c r="BE25" i="13" s="1"/>
  <c r="AK25" i="13"/>
  <c r="AF25" i="13"/>
  <c r="BC25" i="13" s="1"/>
  <c r="AG25" i="13"/>
  <c r="AH25" i="13"/>
  <c r="BD25" i="13" s="1"/>
  <c r="AI25" i="13"/>
  <c r="AL25" i="13"/>
  <c r="BF25" i="13" s="1"/>
  <c r="AN25" i="13"/>
  <c r="BG25" i="13" s="1"/>
  <c r="AF22" i="13"/>
  <c r="BC22" i="13" s="1"/>
  <c r="AG22" i="13"/>
  <c r="AH22" i="13"/>
  <c r="BD22" i="13" s="1"/>
  <c r="AI22" i="13"/>
  <c r="AJ22" i="13"/>
  <c r="BE22" i="13" s="1"/>
  <c r="AK22" i="13"/>
  <c r="AL22" i="13"/>
  <c r="BF22" i="13" s="1"/>
  <c r="AN22" i="13"/>
  <c r="BG22" i="13" s="1"/>
  <c r="AF24" i="13"/>
  <c r="BC24" i="13" s="1"/>
  <c r="AG24" i="13"/>
  <c r="AH24" i="13"/>
  <c r="BD24" i="13" s="1"/>
  <c r="AI24" i="13"/>
  <c r="AJ24" i="13"/>
  <c r="BE24" i="13" s="1"/>
  <c r="AK24" i="13"/>
  <c r="AL24" i="13"/>
  <c r="BF24" i="13" s="1"/>
  <c r="AN24" i="13"/>
  <c r="BG24" i="13" s="1"/>
  <c r="AF20" i="13"/>
  <c r="BC20" i="13" s="1"/>
  <c r="AG20" i="13"/>
  <c r="AH20" i="13"/>
  <c r="BD20" i="13" s="1"/>
  <c r="AI20" i="13"/>
  <c r="AJ20" i="13"/>
  <c r="BE20" i="13" s="1"/>
  <c r="AK20" i="13"/>
  <c r="AL20" i="13"/>
  <c r="BF20" i="13" s="1"/>
  <c r="AN20" i="13"/>
  <c r="BG20" i="13" s="1"/>
  <c r="AF23" i="13"/>
  <c r="BC23" i="13" s="1"/>
  <c r="AG23" i="13"/>
  <c r="AH23" i="13"/>
  <c r="BD23" i="13" s="1"/>
  <c r="AI23" i="13"/>
  <c r="AJ23" i="13"/>
  <c r="BE23" i="13" s="1"/>
  <c r="AK23" i="13"/>
  <c r="AF53" i="13"/>
  <c r="BC53" i="13" s="1"/>
  <c r="AG53" i="13"/>
  <c r="AH53" i="13"/>
  <c r="BD53" i="13" s="1"/>
  <c r="AI53" i="13"/>
  <c r="AJ53" i="13"/>
  <c r="BE53" i="13" s="1"/>
  <c r="AK53" i="13"/>
  <c r="AL53" i="13"/>
  <c r="BF53" i="13" s="1"/>
  <c r="AN53" i="13"/>
  <c r="BG53" i="13" s="1"/>
  <c r="AF51" i="13"/>
  <c r="BC51" i="13" s="1"/>
  <c r="AG51" i="13"/>
  <c r="AH51" i="13"/>
  <c r="BD51" i="13" s="1"/>
  <c r="AI51" i="13"/>
  <c r="AJ51" i="13"/>
  <c r="BE51" i="13" s="1"/>
  <c r="AK51" i="13"/>
  <c r="AL51" i="13"/>
  <c r="BF51" i="13" s="1"/>
  <c r="AN51" i="13"/>
  <c r="BG51" i="13" s="1"/>
  <c r="AF49" i="13"/>
  <c r="BC49" i="13" s="1"/>
  <c r="AG49" i="13"/>
  <c r="AH49" i="13"/>
  <c r="BD49" i="13" s="1"/>
  <c r="AI49" i="13"/>
  <c r="AJ49" i="13"/>
  <c r="BE49" i="13" s="1"/>
  <c r="AK49" i="13"/>
  <c r="AL49" i="13"/>
  <c r="BF49" i="13" s="1"/>
  <c r="AN49" i="13"/>
  <c r="BG49" i="13" s="1"/>
  <c r="AF50" i="13"/>
  <c r="BC50" i="13" s="1"/>
  <c r="AG50" i="13"/>
  <c r="AH50" i="13"/>
  <c r="BD50" i="13" s="1"/>
  <c r="AI50" i="13"/>
  <c r="AJ50" i="13"/>
  <c r="BE50" i="13" s="1"/>
  <c r="AK50" i="13"/>
  <c r="AL50" i="13"/>
  <c r="BF50" i="13" s="1"/>
  <c r="AN50" i="13"/>
  <c r="BG50" i="13" s="1"/>
  <c r="AF52" i="13"/>
  <c r="BC52" i="13" s="1"/>
  <c r="AG52" i="13"/>
  <c r="AH52" i="13"/>
  <c r="BD52" i="13" s="1"/>
  <c r="AI52" i="13"/>
  <c r="AJ52" i="13"/>
  <c r="BE52" i="13" s="1"/>
  <c r="AK52" i="13"/>
  <c r="AL52" i="13"/>
  <c r="BF52" i="13" s="1"/>
  <c r="AN52" i="13"/>
  <c r="BG52" i="13" s="1"/>
  <c r="AF54" i="13"/>
  <c r="BC54" i="13" s="1"/>
  <c r="AG54" i="13"/>
  <c r="AH54" i="13"/>
  <c r="BD54" i="13" s="1"/>
  <c r="AI54" i="13"/>
  <c r="AJ54" i="13"/>
  <c r="BE54" i="13" s="1"/>
  <c r="AK54" i="13"/>
  <c r="AL54" i="13"/>
  <c r="BF54" i="13" s="1"/>
  <c r="AN54" i="13"/>
  <c r="BG54" i="13" s="1"/>
  <c r="AF24" i="34"/>
  <c r="BC24" i="34" s="1"/>
  <c r="AG24" i="34"/>
  <c r="AH24" i="34"/>
  <c r="BD24" i="34" s="1"/>
  <c r="AI24" i="34"/>
  <c r="AJ24" i="34"/>
  <c r="BE24" i="34" s="1"/>
  <c r="AK24" i="34"/>
  <c r="AL24" i="34"/>
  <c r="BF24" i="34" s="1"/>
  <c r="AN24" i="34"/>
  <c r="BG24" i="34" s="1"/>
  <c r="AF22" i="34"/>
  <c r="BC22" i="34" s="1"/>
  <c r="AG22" i="34"/>
  <c r="AH22" i="34"/>
  <c r="BD22" i="34" s="1"/>
  <c r="AI22" i="34"/>
  <c r="AJ22" i="34"/>
  <c r="BE22" i="34" s="1"/>
  <c r="AK22" i="34"/>
  <c r="AL22" i="34"/>
  <c r="AN22" i="34"/>
  <c r="BG22" i="34" s="1"/>
  <c r="AF20" i="34"/>
  <c r="AG20" i="34"/>
  <c r="BC20" i="34"/>
  <c r="AH20" i="34"/>
  <c r="BD20" i="34" s="1"/>
  <c r="AI20" i="34"/>
  <c r="AJ20" i="34"/>
  <c r="BE20" i="34" s="1"/>
  <c r="AK20" i="34"/>
  <c r="AL20" i="34"/>
  <c r="BF20" i="34" s="1"/>
  <c r="AN20" i="34"/>
  <c r="BG20" i="34" s="1"/>
  <c r="AF21" i="34"/>
  <c r="BC21" i="34" s="1"/>
  <c r="AG21" i="34"/>
  <c r="AH21" i="34"/>
  <c r="BD21" i="34" s="1"/>
  <c r="AI21" i="34"/>
  <c r="AJ21" i="34"/>
  <c r="BE21" i="34" s="1"/>
  <c r="AK21" i="34"/>
  <c r="AL21" i="34"/>
  <c r="BF21" i="34" s="1"/>
  <c r="AN21" i="34"/>
  <c r="BG21" i="34" s="1"/>
  <c r="AF23" i="34"/>
  <c r="BC23" i="34" s="1"/>
  <c r="AG23" i="34"/>
  <c r="AH23" i="34"/>
  <c r="BD23" i="34" s="1"/>
  <c r="AI23" i="34"/>
  <c r="AJ23" i="34"/>
  <c r="BE23" i="34" s="1"/>
  <c r="AK23" i="34"/>
  <c r="AL23" i="34"/>
  <c r="BF23" i="34" s="1"/>
  <c r="AN23" i="34"/>
  <c r="BG23" i="34" s="1"/>
  <c r="AF25" i="34"/>
  <c r="BC25" i="34" s="1"/>
  <c r="AG25" i="34"/>
  <c r="AH25" i="34"/>
  <c r="BD25" i="34" s="1"/>
  <c r="AI25" i="34"/>
  <c r="AJ25" i="34"/>
  <c r="BE25" i="34" s="1"/>
  <c r="AK25" i="34"/>
  <c r="AL25" i="34"/>
  <c r="BF25" i="34" s="1"/>
  <c r="AN25" i="34"/>
  <c r="BG25" i="34" s="1"/>
  <c r="AF53" i="34"/>
  <c r="BC53" i="34" s="1"/>
  <c r="AG53" i="34"/>
  <c r="AH53" i="34"/>
  <c r="BD53" i="34" s="1"/>
  <c r="AI53" i="34"/>
  <c r="AJ53" i="34"/>
  <c r="BE53" i="34" s="1"/>
  <c r="AK53" i="34"/>
  <c r="AL53" i="34"/>
  <c r="BF53" i="34" s="1"/>
  <c r="AN53" i="34"/>
  <c r="BG53" i="34" s="1"/>
  <c r="AF51" i="34"/>
  <c r="BC51" i="34" s="1"/>
  <c r="AG51" i="34"/>
  <c r="AH51" i="34"/>
  <c r="BD51" i="34" s="1"/>
  <c r="AI51" i="34"/>
  <c r="AJ51" i="34"/>
  <c r="BE51" i="34" s="1"/>
  <c r="AK51" i="34"/>
  <c r="AL51" i="34"/>
  <c r="AN51" i="34"/>
  <c r="BG51" i="34" s="1"/>
  <c r="AF49" i="34"/>
  <c r="BC49" i="34" s="1"/>
  <c r="AG49" i="34"/>
  <c r="AH49" i="34"/>
  <c r="BD49" i="34" s="1"/>
  <c r="AI49" i="34"/>
  <c r="AJ49" i="34"/>
  <c r="BE49" i="34" s="1"/>
  <c r="AK49" i="34"/>
  <c r="AL49" i="34"/>
  <c r="BF49" i="34" s="1"/>
  <c r="AN49" i="34"/>
  <c r="BG49" i="34" s="1"/>
  <c r="AF50" i="34"/>
  <c r="BC50" i="34" s="1"/>
  <c r="AG50" i="34"/>
  <c r="AH50" i="34"/>
  <c r="BD50" i="34" s="1"/>
  <c r="AI50" i="34"/>
  <c r="AJ50" i="34"/>
  <c r="BE50" i="34" s="1"/>
  <c r="AK50" i="34"/>
  <c r="AL50" i="34"/>
  <c r="BF50" i="34" s="1"/>
  <c r="AN50" i="34"/>
  <c r="BG50" i="34" s="1"/>
  <c r="AF52" i="34"/>
  <c r="BC52" i="34" s="1"/>
  <c r="AG52" i="34"/>
  <c r="AH52" i="34"/>
  <c r="BD52" i="34" s="1"/>
  <c r="AI52" i="34"/>
  <c r="AJ52" i="34"/>
  <c r="BE52" i="34" s="1"/>
  <c r="AK52" i="34"/>
  <c r="AL52" i="34"/>
  <c r="BF52" i="34" s="1"/>
  <c r="AN52" i="34"/>
  <c r="BG52" i="34" s="1"/>
  <c r="AF54" i="34"/>
  <c r="BC54" i="34" s="1"/>
  <c r="AG54" i="34"/>
  <c r="AH54" i="34"/>
  <c r="BD54" i="34" s="1"/>
  <c r="AI54" i="34"/>
  <c r="AJ54" i="34"/>
  <c r="BE54" i="34" s="1"/>
  <c r="AK54" i="34"/>
  <c r="AL54" i="34"/>
  <c r="BF54" i="34" s="1"/>
  <c r="AN54" i="34"/>
  <c r="BG54" i="34" s="1"/>
  <c r="Q35" i="34"/>
  <c r="Q31" i="41" s="1"/>
  <c r="Q6" i="34"/>
  <c r="Q23" i="41" s="1"/>
  <c r="Q35" i="13"/>
  <c r="Q15" i="41" s="1"/>
  <c r="Q6" i="13"/>
  <c r="Q7" i="41" s="1"/>
  <c r="AJ7" i="37"/>
  <c r="AM20" i="13"/>
  <c r="AO20" i="13"/>
  <c r="CK18" i="13"/>
  <c r="CL18" i="13"/>
  <c r="AF21" i="13"/>
  <c r="BC21" i="13" s="1"/>
  <c r="AG21" i="13"/>
  <c r="AH21" i="13"/>
  <c r="BD21" i="13" s="1"/>
  <c r="AI21" i="13"/>
  <c r="AJ21" i="13"/>
  <c r="BE21" i="13" s="1"/>
  <c r="AK21" i="13"/>
  <c r="AL21" i="13"/>
  <c r="BF21" i="13" s="1"/>
  <c r="AM21" i="13"/>
  <c r="AN21" i="13"/>
  <c r="BG21" i="13" s="1"/>
  <c r="AL23" i="13"/>
  <c r="BF23" i="13" s="1"/>
  <c r="AM23" i="13"/>
  <c r="AN23" i="13"/>
  <c r="BG23" i="13" s="1"/>
  <c r="AO23" i="13"/>
  <c r="CK19" i="13"/>
  <c r="CL19" i="13"/>
  <c r="AM25" i="13"/>
  <c r="CK20" i="13"/>
  <c r="CL20" i="13"/>
  <c r="CK21" i="13"/>
  <c r="CL21" i="13"/>
  <c r="AM53" i="13"/>
  <c r="AM54" i="13"/>
  <c r="AM20" i="34"/>
  <c r="AO20" i="34"/>
  <c r="AM25" i="34"/>
  <c r="AM53" i="34"/>
  <c r="AM49" i="34"/>
  <c r="AO49" i="34"/>
  <c r="AM50" i="34"/>
  <c r="AM52" i="34"/>
  <c r="AM54" i="34"/>
  <c r="AO54" i="13"/>
  <c r="CK49" i="13"/>
  <c r="CL49" i="13"/>
  <c r="AO53" i="13"/>
  <c r="CK47" i="13"/>
  <c r="CL47" i="13"/>
  <c r="AM52" i="13"/>
  <c r="CK50" i="13"/>
  <c r="CL50" i="13"/>
  <c r="CK48" i="13"/>
  <c r="CL48" i="13"/>
  <c r="AO25" i="34"/>
  <c r="CK20" i="34"/>
  <c r="CL20" i="34"/>
  <c r="CK18" i="34"/>
  <c r="CL18" i="34"/>
  <c r="CK21" i="34"/>
  <c r="CL21" i="34"/>
  <c r="CK19" i="34"/>
  <c r="CL19" i="34"/>
  <c r="AO54" i="34"/>
  <c r="AM51" i="34"/>
  <c r="AO51" i="34"/>
  <c r="CK49" i="34"/>
  <c r="CL49" i="34"/>
  <c r="CK47" i="34"/>
  <c r="CL47" i="34"/>
  <c r="CK50" i="34"/>
  <c r="CL50" i="34"/>
  <c r="CK48" i="34"/>
  <c r="CL48" i="34"/>
  <c r="AJ18" i="37"/>
  <c r="AA26" i="37"/>
  <c r="A6" i="16"/>
  <c r="B235" i="36" s="1"/>
  <c r="B145" i="16"/>
  <c r="J23" i="42"/>
  <c r="J22" i="42"/>
  <c r="J21" i="42"/>
  <c r="J20" i="42"/>
  <c r="J19" i="42"/>
  <c r="J18" i="42"/>
  <c r="J17" i="42"/>
  <c r="J16" i="42"/>
  <c r="J15" i="42"/>
  <c r="J14" i="42"/>
  <c r="J13" i="42"/>
  <c r="J12" i="42"/>
  <c r="J11" i="42"/>
  <c r="J10" i="42"/>
  <c r="C22" i="42"/>
  <c r="F22" i="42" s="1"/>
  <c r="C20" i="42"/>
  <c r="H20" i="42" s="1"/>
  <c r="C18" i="42"/>
  <c r="H18" i="42" s="1"/>
  <c r="C16" i="42"/>
  <c r="C14" i="42"/>
  <c r="B14" i="42" s="1"/>
  <c r="C12" i="42"/>
  <c r="H12" i="42" s="1"/>
  <c r="C10" i="42"/>
  <c r="D10" i="42" s="1"/>
  <c r="C8" i="42"/>
  <c r="G8" i="42" s="1"/>
  <c r="G1" i="16"/>
  <c r="G2" i="16"/>
  <c r="AJ20" i="37"/>
  <c r="AM24" i="13"/>
  <c r="AO24" i="13"/>
  <c r="AM22" i="13"/>
  <c r="AM51" i="13"/>
  <c r="AM49" i="13"/>
  <c r="AM50" i="13"/>
  <c r="AO50" i="13"/>
  <c r="AO51" i="13"/>
  <c r="AM24" i="34"/>
  <c r="AO24" i="34"/>
  <c r="AM22" i="34"/>
  <c r="BF22" i="34"/>
  <c r="AO22" i="34"/>
  <c r="AM21" i="34"/>
  <c r="AO21" i="34"/>
  <c r="AM23" i="34"/>
  <c r="AO50" i="34"/>
  <c r="AJ15" i="37"/>
  <c r="AJ10" i="37"/>
  <c r="AJ14" i="37"/>
  <c r="AJ11" i="37"/>
  <c r="AJ8" i="37"/>
  <c r="AJ12" i="37"/>
  <c r="AJ6" i="37"/>
  <c r="AJ19" i="37"/>
  <c r="AJ16" i="37"/>
  <c r="B39" i="37"/>
  <c r="AJ2" i="37"/>
  <c r="AJ17" i="37"/>
  <c r="AJ13" i="37"/>
  <c r="AJ9" i="37"/>
  <c r="D29" i="37"/>
  <c r="L300" i="36" s="1"/>
  <c r="L303" i="36" s="1"/>
  <c r="D31" i="37"/>
  <c r="E31" i="37" s="1"/>
  <c r="B32" i="37"/>
  <c r="C19" i="42" s="1"/>
  <c r="X29" i="37"/>
  <c r="L358" i="36" s="1"/>
  <c r="L361" i="36" s="1"/>
  <c r="X31" i="37"/>
  <c r="L363" i="36" s="1"/>
  <c r="L366" i="36" s="1"/>
  <c r="AA32" i="37"/>
  <c r="C11" i="42" s="1"/>
  <c r="E11" i="42" s="1"/>
  <c r="B26" i="37"/>
  <c r="C17" i="42"/>
  <c r="D17" i="42" s="1"/>
  <c r="C9" i="42"/>
  <c r="H9" i="42" s="1"/>
  <c r="C13" i="42"/>
  <c r="B13" i="42" s="1"/>
  <c r="A7" i="16"/>
  <c r="T4" i="34" s="1"/>
  <c r="T33" i="34" s="1"/>
  <c r="A363" i="36"/>
  <c r="C365" i="36" s="1"/>
  <c r="A388" i="36"/>
  <c r="A389" i="36" s="1"/>
  <c r="A400" i="36" s="1"/>
  <c r="A393" i="36"/>
  <c r="A394" i="36" s="1"/>
  <c r="A402" i="36" s="1"/>
  <c r="A358" i="36"/>
  <c r="C360" i="36" s="1"/>
  <c r="M325" i="36"/>
  <c r="M326" i="36" s="1"/>
  <c r="A335" i="36"/>
  <c r="A336" i="36" s="1"/>
  <c r="A344" i="36" s="1"/>
  <c r="A330" i="36"/>
  <c r="A333" i="36" s="1"/>
  <c r="B325" i="36"/>
  <c r="B326" i="36" s="1"/>
  <c r="M295" i="36"/>
  <c r="M296" i="36" s="1"/>
  <c r="A305" i="36"/>
  <c r="A308" i="36" s="1"/>
  <c r="A300" i="36"/>
  <c r="A301" i="36" s="1"/>
  <c r="A312" i="36" s="1"/>
  <c r="B295" i="36"/>
  <c r="B296" i="36" s="1"/>
  <c r="L247" i="36"/>
  <c r="N249" i="36" s="1"/>
  <c r="L242" i="36"/>
  <c r="N244" i="36" s="1"/>
  <c r="A247" i="36"/>
  <c r="A242" i="36"/>
  <c r="A245" i="36" s="1"/>
  <c r="L189" i="36"/>
  <c r="L192" i="36" s="1"/>
  <c r="L184" i="36"/>
  <c r="N186" i="36" s="1"/>
  <c r="A189" i="36"/>
  <c r="A190" i="36" s="1"/>
  <c r="A198" i="36" s="1"/>
  <c r="A184" i="36"/>
  <c r="A187" i="36" s="1"/>
  <c r="M93" i="36"/>
  <c r="M94" i="36" s="1"/>
  <c r="B93" i="36"/>
  <c r="B94" i="36" s="1"/>
  <c r="M63" i="36"/>
  <c r="M64" i="36" s="1"/>
  <c r="B63" i="36"/>
  <c r="B64" i="36" s="1"/>
  <c r="Q383" i="36"/>
  <c r="F383" i="36"/>
  <c r="Q353" i="36"/>
  <c r="F353" i="36"/>
  <c r="E350" i="36"/>
  <c r="Q325" i="36"/>
  <c r="F325" i="36"/>
  <c r="Q295" i="36"/>
  <c r="F295" i="36"/>
  <c r="E292" i="36"/>
  <c r="Q267" i="36"/>
  <c r="F267" i="36"/>
  <c r="Q237" i="36"/>
  <c r="F237" i="36"/>
  <c r="G236" i="36"/>
  <c r="R266" i="36"/>
  <c r="G266" i="36"/>
  <c r="R236" i="36"/>
  <c r="E234" i="36"/>
  <c r="L266" i="36"/>
  <c r="L236" i="36"/>
  <c r="Q209" i="36"/>
  <c r="F209" i="36"/>
  <c r="Q179" i="36"/>
  <c r="R208" i="36"/>
  <c r="G208" i="36"/>
  <c r="R178" i="36"/>
  <c r="E176" i="36"/>
  <c r="F179" i="36"/>
  <c r="G178" i="36"/>
  <c r="L208" i="36"/>
  <c r="L178" i="36"/>
  <c r="L156" i="36"/>
  <c r="L157" i="36" s="1"/>
  <c r="L168" i="36" s="1"/>
  <c r="A161" i="36"/>
  <c r="A162" i="36" s="1"/>
  <c r="A170" i="36" s="1"/>
  <c r="L126" i="36"/>
  <c r="L127" i="36" s="1"/>
  <c r="L138" i="36" s="1"/>
  <c r="A131" i="36"/>
  <c r="C133" i="36" s="1"/>
  <c r="Q151" i="36"/>
  <c r="F151" i="36"/>
  <c r="Q121" i="36"/>
  <c r="F121" i="36"/>
  <c r="R150" i="36"/>
  <c r="G150" i="36"/>
  <c r="R120" i="36"/>
  <c r="G120" i="36"/>
  <c r="R92" i="36"/>
  <c r="G92" i="36"/>
  <c r="E118" i="36"/>
  <c r="A150" i="36"/>
  <c r="L150" i="36" s="1"/>
  <c r="L120" i="36"/>
  <c r="Q93" i="36"/>
  <c r="F93" i="36"/>
  <c r="Q63" i="36"/>
  <c r="F63" i="36"/>
  <c r="A92" i="36"/>
  <c r="L92" i="36" s="1"/>
  <c r="R62" i="36"/>
  <c r="G62" i="36"/>
  <c r="L62" i="36"/>
  <c r="R34" i="36"/>
  <c r="G34" i="36"/>
  <c r="R4" i="36"/>
  <c r="G4" i="36"/>
  <c r="E60" i="36"/>
  <c r="E2" i="36"/>
  <c r="Q35" i="36"/>
  <c r="F35" i="36"/>
  <c r="Q5" i="36"/>
  <c r="F5" i="36"/>
  <c r="A4" i="36"/>
  <c r="L34" i="36" s="1"/>
  <c r="B17" i="44"/>
  <c r="P32" i="36" s="1"/>
  <c r="B16" i="44"/>
  <c r="E32" i="36" s="1"/>
  <c r="B15" i="44"/>
  <c r="P2" i="36" s="1"/>
  <c r="B24" i="44"/>
  <c r="P90" i="36" s="1"/>
  <c r="B23" i="44"/>
  <c r="E90" i="36" s="1"/>
  <c r="B22" i="44"/>
  <c r="P60" i="36" s="1"/>
  <c r="F24" i="44"/>
  <c r="P148" i="36" s="1"/>
  <c r="F23" i="44"/>
  <c r="E148" i="36" s="1"/>
  <c r="F22" i="44"/>
  <c r="P118" i="36"/>
  <c r="B32" i="44"/>
  <c r="P206" i="36" s="1"/>
  <c r="B31" i="44"/>
  <c r="E206" i="36"/>
  <c r="B29" i="44"/>
  <c r="P176" i="36" s="1"/>
  <c r="F32" i="44"/>
  <c r="P264" i="36" s="1"/>
  <c r="F31" i="44"/>
  <c r="E264" i="36" s="1"/>
  <c r="F29" i="44"/>
  <c r="P234" i="36" s="1"/>
  <c r="B39" i="44"/>
  <c r="P322" i="36" s="1"/>
  <c r="B38" i="44"/>
  <c r="E322" i="36" s="1"/>
  <c r="B37" i="44"/>
  <c r="P292" i="36" s="1"/>
  <c r="F39" i="44"/>
  <c r="P380" i="36" s="1"/>
  <c r="F38" i="44"/>
  <c r="E380" i="36" s="1"/>
  <c r="F37" i="44"/>
  <c r="P350" i="36"/>
  <c r="E16" i="13"/>
  <c r="E17" i="13" s="1"/>
  <c r="E18" i="13" s="1"/>
  <c r="E19" i="13" s="1"/>
  <c r="E20" i="13" s="1"/>
  <c r="E21" i="13" s="1"/>
  <c r="AO21" i="13"/>
  <c r="AO22" i="13"/>
  <c r="AO25" i="13"/>
  <c r="AO49" i="13"/>
  <c r="Q41" i="13"/>
  <c r="AO52" i="13"/>
  <c r="I41" i="13"/>
  <c r="M45" i="13" s="1"/>
  <c r="O41" i="13"/>
  <c r="O9" i="13"/>
  <c r="Q9" i="13"/>
  <c r="F45" i="13"/>
  <c r="F49" i="13" s="1"/>
  <c r="V35" i="13"/>
  <c r="F16" i="13"/>
  <c r="F19" i="13" s="1"/>
  <c r="I9" i="13"/>
  <c r="G18" i="13" s="1"/>
  <c r="AA41" i="13"/>
  <c r="Z41" i="13"/>
  <c r="P41" i="13"/>
  <c r="F41" i="13"/>
  <c r="G41" i="13" s="1"/>
  <c r="H41" i="13" s="1"/>
  <c r="AA40" i="13"/>
  <c r="P40" i="13"/>
  <c r="AA39" i="13"/>
  <c r="P39" i="13"/>
  <c r="AA38" i="13"/>
  <c r="P38" i="13"/>
  <c r="AA12" i="13"/>
  <c r="P12" i="13"/>
  <c r="AA11" i="13"/>
  <c r="P11" i="13"/>
  <c r="AA10" i="13"/>
  <c r="P10" i="13"/>
  <c r="Z9" i="13"/>
  <c r="AA9" i="13"/>
  <c r="P9" i="13"/>
  <c r="F9" i="13"/>
  <c r="G9" i="13" s="1"/>
  <c r="H9" i="13" s="1"/>
  <c r="AG9" i="13"/>
  <c r="AC20" i="13"/>
  <c r="EE57" i="13"/>
  <c r="EE56" i="13"/>
  <c r="EE55" i="13"/>
  <c r="BS55" i="13"/>
  <c r="AT55" i="13"/>
  <c r="BS54" i="13"/>
  <c r="AD54" i="13"/>
  <c r="AC54" i="13"/>
  <c r="EN53" i="13"/>
  <c r="CG53" i="13"/>
  <c r="CF53" i="13"/>
  <c r="AD53" i="13"/>
  <c r="AC53" i="13"/>
  <c r="ET52" i="13"/>
  <c r="EN52" i="13"/>
  <c r="EF52" i="13"/>
  <c r="CG52" i="13"/>
  <c r="CF52" i="13"/>
  <c r="AD52" i="13"/>
  <c r="AC52" i="13"/>
  <c r="CG51" i="13"/>
  <c r="CF51" i="13"/>
  <c r="CA51" i="13"/>
  <c r="BZ51" i="13"/>
  <c r="BY51" i="13"/>
  <c r="BX51" i="13"/>
  <c r="BW51" i="13"/>
  <c r="BV51" i="13"/>
  <c r="BU51" i="13"/>
  <c r="BT51" i="13"/>
  <c r="BS51" i="13"/>
  <c r="AC51" i="13"/>
  <c r="AD51" i="13"/>
  <c r="CQ50" i="13"/>
  <c r="CP50" i="13"/>
  <c r="BS50" i="13"/>
  <c r="AC50" i="13"/>
  <c r="AD50" i="13"/>
  <c r="CQ49" i="13"/>
  <c r="CP49" i="13"/>
  <c r="BS49" i="13"/>
  <c r="AC49" i="13"/>
  <c r="AD49" i="13"/>
  <c r="CQ48" i="13"/>
  <c r="CP48" i="13"/>
  <c r="BS48" i="13"/>
  <c r="CQ47" i="13"/>
  <c r="CP47" i="13"/>
  <c r="BS47" i="13"/>
  <c r="AD47" i="13"/>
  <c r="AV45" i="13"/>
  <c r="AQ36" i="13"/>
  <c r="CF22" i="13"/>
  <c r="AD25" i="13"/>
  <c r="AD24" i="13"/>
  <c r="AD23" i="13"/>
  <c r="AD22" i="13"/>
  <c r="AD21" i="13"/>
  <c r="AC21" i="13"/>
  <c r="AD20" i="13"/>
  <c r="AT26" i="13"/>
  <c r="EE29" i="13"/>
  <c r="EE28" i="13"/>
  <c r="EE27" i="13"/>
  <c r="EE26" i="13"/>
  <c r="BS26" i="13"/>
  <c r="BS25" i="13"/>
  <c r="AC25" i="13"/>
  <c r="EN24" i="13"/>
  <c r="CG24" i="13"/>
  <c r="CF24" i="13"/>
  <c r="AC24" i="13"/>
  <c r="BT22" i="13"/>
  <c r="BU22" i="13"/>
  <c r="BX22" i="13"/>
  <c r="BY22" i="13"/>
  <c r="BV22" i="13"/>
  <c r="BW22" i="13"/>
  <c r="BZ22" i="13"/>
  <c r="CA22" i="13"/>
  <c r="ET23" i="13"/>
  <c r="EN23" i="13"/>
  <c r="EF23" i="13"/>
  <c r="CG23" i="13"/>
  <c r="CF23" i="13"/>
  <c r="AC23" i="13"/>
  <c r="CG22" i="13"/>
  <c r="BS22" i="13"/>
  <c r="AC22" i="13"/>
  <c r="CQ21" i="13"/>
  <c r="CP21" i="13"/>
  <c r="BS21" i="13"/>
  <c r="CQ20" i="13"/>
  <c r="CP20" i="13"/>
  <c r="BS20" i="13"/>
  <c r="CQ19" i="13"/>
  <c r="CP19" i="13"/>
  <c r="BS19" i="13"/>
  <c r="CQ18" i="13"/>
  <c r="CP18" i="13"/>
  <c r="BS18" i="13"/>
  <c r="AD18" i="13"/>
  <c r="AV16" i="13"/>
  <c r="AQ7" i="13"/>
  <c r="B8" i="44"/>
  <c r="E45" i="13" s="1"/>
  <c r="E46" i="13" s="1"/>
  <c r="E47" i="13" s="1"/>
  <c r="E48" i="13" s="1"/>
  <c r="E49" i="13" s="1"/>
  <c r="E50" i="13" s="1"/>
  <c r="D45" i="34"/>
  <c r="AO52" i="34"/>
  <c r="AO23" i="34"/>
  <c r="AO53" i="34"/>
  <c r="F45" i="34"/>
  <c r="F16" i="34"/>
  <c r="F18" i="34" s="1"/>
  <c r="P26" i="34"/>
  <c r="P55" i="34" s="1"/>
  <c r="AA41" i="34"/>
  <c r="P41" i="34"/>
  <c r="AA40" i="34"/>
  <c r="P40" i="34"/>
  <c r="AA39" i="34"/>
  <c r="P39" i="34"/>
  <c r="AA38" i="34"/>
  <c r="P38" i="34"/>
  <c r="AA12" i="34"/>
  <c r="P12" i="34"/>
  <c r="AA11" i="34"/>
  <c r="P11" i="34"/>
  <c r="AA10" i="34"/>
  <c r="P10" i="34"/>
  <c r="AA9" i="34"/>
  <c r="P9" i="34"/>
  <c r="AC20" i="34"/>
  <c r="EE57" i="34"/>
  <c r="EE56" i="34"/>
  <c r="EE55" i="34"/>
  <c r="BS55" i="34"/>
  <c r="AT55" i="34"/>
  <c r="BS54" i="34"/>
  <c r="AD54" i="34"/>
  <c r="AC54" i="34"/>
  <c r="EN53" i="34"/>
  <c r="CG53" i="34"/>
  <c r="CF53" i="34"/>
  <c r="AD53" i="34"/>
  <c r="AC53" i="34"/>
  <c r="ET52" i="34"/>
  <c r="EN52" i="34"/>
  <c r="EF52" i="34"/>
  <c r="CG52" i="34"/>
  <c r="CF52" i="34"/>
  <c r="AD52" i="34"/>
  <c r="AC52" i="34"/>
  <c r="CG51" i="34"/>
  <c r="CF51" i="34"/>
  <c r="CA51" i="34"/>
  <c r="BZ51" i="34"/>
  <c r="BY51" i="34"/>
  <c r="BX51" i="34"/>
  <c r="BW51" i="34"/>
  <c r="BV51" i="34"/>
  <c r="BU51" i="34"/>
  <c r="BT51" i="34"/>
  <c r="BS51" i="34"/>
  <c r="AC51" i="34"/>
  <c r="AD51" i="34"/>
  <c r="CQ50" i="34"/>
  <c r="CP50" i="34"/>
  <c r="BS50" i="34"/>
  <c r="AC50" i="34"/>
  <c r="AD50" i="34"/>
  <c r="CQ49" i="34"/>
  <c r="CP49" i="34"/>
  <c r="BS49" i="34"/>
  <c r="AC49" i="34"/>
  <c r="AD49" i="34"/>
  <c r="CQ48" i="34"/>
  <c r="CP48" i="34"/>
  <c r="BS48" i="34"/>
  <c r="CQ47" i="34"/>
  <c r="CP47" i="34"/>
  <c r="BS47" i="34"/>
  <c r="AD47" i="34"/>
  <c r="AV45" i="34"/>
  <c r="AQ36" i="34"/>
  <c r="CF22" i="34"/>
  <c r="AD25" i="34"/>
  <c r="AD24" i="34"/>
  <c r="AD23" i="34"/>
  <c r="AD22" i="34"/>
  <c r="AD21" i="34"/>
  <c r="AC21" i="34"/>
  <c r="AD20" i="34"/>
  <c r="AT26" i="34"/>
  <c r="EE29" i="34"/>
  <c r="EE28" i="34"/>
  <c r="EE27" i="34"/>
  <c r="EE26" i="34"/>
  <c r="BS26" i="34"/>
  <c r="BS25" i="34"/>
  <c r="AC25" i="34"/>
  <c r="EN24" i="34"/>
  <c r="CG24" i="34"/>
  <c r="CF24" i="34"/>
  <c r="AC24" i="34"/>
  <c r="BT22" i="34"/>
  <c r="BU22" i="34"/>
  <c r="BX22" i="34"/>
  <c r="BY22" i="34"/>
  <c r="BV22" i="34"/>
  <c r="BW22" i="34"/>
  <c r="BZ22" i="34"/>
  <c r="CA22" i="34"/>
  <c r="ET23" i="34"/>
  <c r="EN23" i="34"/>
  <c r="EF23" i="34"/>
  <c r="CG23" i="34"/>
  <c r="CF23" i="34"/>
  <c r="AC23" i="34"/>
  <c r="CG22" i="34"/>
  <c r="BS22" i="34"/>
  <c r="AC22" i="34"/>
  <c r="CQ21" i="34"/>
  <c r="CP21" i="34"/>
  <c r="BS21" i="34"/>
  <c r="CQ20" i="34"/>
  <c r="CP20" i="34"/>
  <c r="BS20" i="34"/>
  <c r="CQ19" i="34"/>
  <c r="CP19" i="34"/>
  <c r="BS19" i="34"/>
  <c r="CQ18" i="34"/>
  <c r="CP18" i="34"/>
  <c r="BS18" i="34"/>
  <c r="AD18" i="34"/>
  <c r="AV16" i="34"/>
  <c r="AQ7" i="34"/>
  <c r="B10" i="44"/>
  <c r="E45" i="34" s="1"/>
  <c r="E46" i="34" s="1"/>
  <c r="E47" i="34" s="1"/>
  <c r="E48" i="34" s="1"/>
  <c r="E49" i="34" s="1"/>
  <c r="E50" i="34" s="1"/>
  <c r="B9" i="44"/>
  <c r="E16" i="34" s="1"/>
  <c r="E17" i="34" s="1"/>
  <c r="E18" i="34" s="1"/>
  <c r="E19" i="34" s="1"/>
  <c r="E20" i="34" s="1"/>
  <c r="E21" i="34" s="1"/>
  <c r="F5" i="41"/>
  <c r="T5" i="41"/>
  <c r="C21" i="41"/>
  <c r="Z21" i="41" s="1"/>
  <c r="C10" i="41"/>
  <c r="Q10" i="41" s="1"/>
  <c r="M31" i="41"/>
  <c r="M15" i="41"/>
  <c r="M7" i="41"/>
  <c r="M23" i="41"/>
  <c r="AA37" i="41"/>
  <c r="P37" i="41"/>
  <c r="AA36" i="41"/>
  <c r="P36" i="41"/>
  <c r="AA35" i="41"/>
  <c r="P35" i="41"/>
  <c r="AA34" i="41"/>
  <c r="P34" i="41"/>
  <c r="AA29" i="41"/>
  <c r="P29" i="41"/>
  <c r="AA28" i="41"/>
  <c r="P28" i="41"/>
  <c r="AA27" i="41"/>
  <c r="P27" i="41"/>
  <c r="AA26" i="41"/>
  <c r="P26" i="41"/>
  <c r="AA21" i="41"/>
  <c r="P21" i="41"/>
  <c r="AA20" i="41"/>
  <c r="P20" i="41"/>
  <c r="AA19" i="41"/>
  <c r="P19" i="41"/>
  <c r="AA18" i="41"/>
  <c r="P18" i="41"/>
  <c r="AA13" i="41"/>
  <c r="P13" i="41"/>
  <c r="AA12" i="41"/>
  <c r="P12" i="41"/>
  <c r="AA11" i="41"/>
  <c r="P11" i="41"/>
  <c r="AA10" i="41"/>
  <c r="P10" i="41"/>
  <c r="V38" i="37"/>
  <c r="V34" i="37"/>
  <c r="H38" i="37"/>
  <c r="E36" i="37"/>
  <c r="H34" i="37"/>
  <c r="E30" i="37"/>
  <c r="E19" i="37"/>
  <c r="H24" i="37"/>
  <c r="H14" i="37"/>
  <c r="K27" i="37"/>
  <c r="K21" i="37"/>
  <c r="K17" i="37"/>
  <c r="V14" i="37"/>
  <c r="K11" i="37"/>
  <c r="Q16" i="37"/>
  <c r="Q22" i="37"/>
  <c r="Q26" i="37"/>
  <c r="Z42" i="37"/>
  <c r="Z36" i="37"/>
  <c r="Z30" i="37"/>
  <c r="Z19" i="37"/>
  <c r="V24" i="37"/>
  <c r="T27" i="37"/>
  <c r="T21" i="37"/>
  <c r="T17" i="37"/>
  <c r="Q12" i="37"/>
  <c r="T11" i="37"/>
  <c r="AB43" i="37"/>
  <c r="AB40" i="37"/>
  <c r="AB37" i="37"/>
  <c r="AB33" i="37"/>
  <c r="AB31" i="37"/>
  <c r="AB27" i="37"/>
  <c r="AB20" i="37"/>
  <c r="C43" i="37"/>
  <c r="C37" i="37"/>
  <c r="C31" i="37"/>
  <c r="C27" i="37"/>
  <c r="C20" i="37"/>
  <c r="Y8" i="37"/>
  <c r="D8" i="37"/>
  <c r="V8" i="37"/>
  <c r="G8" i="37"/>
  <c r="S8" i="37"/>
  <c r="J8" i="37"/>
  <c r="O2" i="37"/>
  <c r="O1" i="37"/>
  <c r="M8" i="37"/>
  <c r="AB39" i="37"/>
  <c r="AB42" i="37"/>
  <c r="C42" i="37"/>
  <c r="C39" i="37"/>
  <c r="Y38" i="37"/>
  <c r="E38" i="37"/>
  <c r="AB36" i="37"/>
  <c r="C36" i="37"/>
  <c r="Y34" i="37"/>
  <c r="E34" i="37"/>
  <c r="AB32" i="37"/>
  <c r="Y31" i="37"/>
  <c r="AB30" i="37"/>
  <c r="C30" i="37"/>
  <c r="Y29" i="37"/>
  <c r="V27" i="37"/>
  <c r="H27" i="37"/>
  <c r="AB26" i="37"/>
  <c r="S26" i="37"/>
  <c r="Y24" i="37"/>
  <c r="E24" i="37"/>
  <c r="S22" i="37"/>
  <c r="V21" i="37"/>
  <c r="H21" i="37"/>
  <c r="AB19" i="37"/>
  <c r="C19" i="37"/>
  <c r="V17" i="37"/>
  <c r="H17" i="37"/>
  <c r="S16" i="37"/>
  <c r="Y14" i="37"/>
  <c r="E14" i="37"/>
  <c r="S12" i="37"/>
  <c r="V11" i="37"/>
  <c r="H11" i="37"/>
  <c r="AS1" i="37"/>
  <c r="AR1" i="37"/>
  <c r="AU1" i="37"/>
  <c r="AT1" i="37"/>
  <c r="C26" i="37"/>
  <c r="BF51" i="34"/>
  <c r="L187" i="36"/>
  <c r="C244" i="36"/>
  <c r="C332" i="36"/>
  <c r="A331" i="36"/>
  <c r="A342" i="36" s="1"/>
  <c r="F19" i="34"/>
  <c r="F48" i="34"/>
  <c r="A359" i="36"/>
  <c r="A370" i="36" s="1"/>
  <c r="J18" i="37"/>
  <c r="K18" i="37" s="1"/>
  <c r="R10" i="37"/>
  <c r="A126" i="36" s="1"/>
  <c r="M15" i="37"/>
  <c r="N15" i="37" s="1"/>
  <c r="R20" i="37"/>
  <c r="M5" i="36" s="1"/>
  <c r="M6" i="36" s="1"/>
  <c r="M17" i="37"/>
  <c r="L15" i="36" s="1"/>
  <c r="M11" i="37"/>
  <c r="N11" i="37" s="1"/>
  <c r="J20" i="37"/>
  <c r="A98" i="36" s="1"/>
  <c r="A101" i="36" s="1"/>
  <c r="R18" i="37"/>
  <c r="L131" i="36" s="1"/>
  <c r="M23" i="37"/>
  <c r="A45" i="36" s="1"/>
  <c r="M13" i="37"/>
  <c r="A15" i="36" s="1"/>
  <c r="M27" i="37"/>
  <c r="N27" i="37" s="1"/>
  <c r="J10" i="37"/>
  <c r="M383" i="36" s="1"/>
  <c r="M384" i="36" s="1"/>
  <c r="M21" i="37"/>
  <c r="N21" i="37" s="1"/>
  <c r="M25" i="37"/>
  <c r="R28" i="37"/>
  <c r="S28" i="37" s="1"/>
  <c r="J28" i="37"/>
  <c r="L103" i="36" s="1"/>
  <c r="U35" i="37"/>
  <c r="V35" i="37" s="1"/>
  <c r="J12" i="37"/>
  <c r="A73" i="36" s="1"/>
  <c r="A76" i="36" s="1"/>
  <c r="U37" i="37"/>
  <c r="L272" i="36" s="1"/>
  <c r="J16" i="37"/>
  <c r="L68" i="36" s="1"/>
  <c r="L69" i="36" s="1"/>
  <c r="L80" i="36" s="1"/>
  <c r="U33" i="37"/>
  <c r="J26" i="37"/>
  <c r="K26" i="37" s="1"/>
  <c r="U39" i="37"/>
  <c r="V39" i="37" s="1"/>
  <c r="J22" i="37"/>
  <c r="M237" i="36" s="1"/>
  <c r="M238" i="36" s="1"/>
  <c r="G39" i="37"/>
  <c r="H39" i="37" s="1"/>
  <c r="G35" i="37"/>
  <c r="A219" i="36" s="1"/>
  <c r="A222" i="36" s="1"/>
  <c r="G33" i="37"/>
  <c r="A214" i="36" s="1"/>
  <c r="A215" i="36" s="1"/>
  <c r="A226" i="36" s="1"/>
  <c r="X41" i="37"/>
  <c r="X43" i="37"/>
  <c r="Y43" i="37" s="1"/>
  <c r="G37" i="37"/>
  <c r="H37" i="37" s="1"/>
  <c r="AA44" i="37"/>
  <c r="C15" i="42" s="1"/>
  <c r="D43" i="37"/>
  <c r="L335" i="36" s="1"/>
  <c r="N337" i="36" s="1"/>
  <c r="D41" i="37"/>
  <c r="E41" i="37" s="1"/>
  <c r="B44" i="37"/>
  <c r="C23" i="42" s="1"/>
  <c r="N158" i="36"/>
  <c r="L185" i="36"/>
  <c r="L196" i="36" s="1"/>
  <c r="A303" i="36"/>
  <c r="L159" i="36"/>
  <c r="Z12" i="34"/>
  <c r="Z10" i="34"/>
  <c r="D45" i="13"/>
  <c r="D49" i="13" s="1"/>
  <c r="D16" i="13"/>
  <c r="D18" i="13" s="1"/>
  <c r="D16" i="34"/>
  <c r="D20" i="34" s="1"/>
  <c r="X51" i="13"/>
  <c r="L245" i="36"/>
  <c r="Y22" i="13"/>
  <c r="Z22" i="13"/>
  <c r="Q10" i="13" l="1"/>
  <c r="F40" i="34"/>
  <c r="G40" i="34" s="1"/>
  <c r="H40" i="34" s="1"/>
  <c r="AG40" i="34"/>
  <c r="I10" i="13"/>
  <c r="G17" i="13" s="1"/>
  <c r="Q40" i="34"/>
  <c r="I38" i="34"/>
  <c r="G49" i="34" s="1"/>
  <c r="F10" i="13"/>
  <c r="G10" i="13" s="1"/>
  <c r="H10" i="13" s="1"/>
  <c r="Z10" i="13"/>
  <c r="AG10" i="13"/>
  <c r="I40" i="34"/>
  <c r="M47" i="34" s="1"/>
  <c r="O38" i="34"/>
  <c r="C11" i="41"/>
  <c r="O11" i="41" s="1"/>
  <c r="Z40" i="34"/>
  <c r="C36" i="41"/>
  <c r="Q36" i="41" s="1"/>
  <c r="G11" i="42"/>
  <c r="B8" i="42"/>
  <c r="O39" i="34"/>
  <c r="F41" i="34"/>
  <c r="G41" i="34" s="1"/>
  <c r="H41" i="34" s="1"/>
  <c r="C191" i="36"/>
  <c r="I10" i="34"/>
  <c r="G19" i="34" s="1"/>
  <c r="Q9" i="34"/>
  <c r="C37" i="41"/>
  <c r="O37" i="41" s="1"/>
  <c r="AG10" i="34"/>
  <c r="Z39" i="13"/>
  <c r="O39" i="13"/>
  <c r="I39" i="13"/>
  <c r="G46" i="13" s="1"/>
  <c r="F40" i="13"/>
  <c r="G40" i="13" s="1"/>
  <c r="H40" i="13" s="1"/>
  <c r="C27" i="41"/>
  <c r="I27" i="41" s="1"/>
  <c r="AG40" i="13"/>
  <c r="C32" i="37"/>
  <c r="C33" i="37"/>
  <c r="L305" i="36"/>
  <c r="N307" i="36" s="1"/>
  <c r="Q10" i="34"/>
  <c r="I41" i="34"/>
  <c r="M50" i="34" s="1"/>
  <c r="L364" i="36"/>
  <c r="L372" i="36" s="1"/>
  <c r="N365" i="36"/>
  <c r="A134" i="36"/>
  <c r="A396" i="36"/>
  <c r="F9" i="34"/>
  <c r="G9" i="34" s="1"/>
  <c r="H9" i="34" s="1"/>
  <c r="Z41" i="34"/>
  <c r="D18" i="42"/>
  <c r="C395" i="36"/>
  <c r="E29" i="37"/>
  <c r="T4" i="13"/>
  <c r="T33" i="13" s="1"/>
  <c r="F38" i="34"/>
  <c r="G38" i="34" s="1"/>
  <c r="H38" i="34" s="1"/>
  <c r="D18" i="34"/>
  <c r="Z38" i="34"/>
  <c r="Z11" i="34"/>
  <c r="Y51" i="34"/>
  <c r="Q39" i="13"/>
  <c r="C19" i="41"/>
  <c r="Z19" i="41" s="1"/>
  <c r="F39" i="13"/>
  <c r="G39" i="13" s="1"/>
  <c r="H39" i="13" s="1"/>
  <c r="X51" i="34"/>
  <c r="F37" i="41"/>
  <c r="G37" i="41" s="1"/>
  <c r="H37" i="41" s="1"/>
  <c r="F50" i="13"/>
  <c r="M50" i="13"/>
  <c r="D20" i="13"/>
  <c r="O12" i="13"/>
  <c r="AG38" i="13"/>
  <c r="C18" i="41"/>
  <c r="Q18" i="41" s="1"/>
  <c r="D47" i="13"/>
  <c r="Q38" i="13"/>
  <c r="O40" i="13"/>
  <c r="I12" i="13"/>
  <c r="M19" i="13" s="1"/>
  <c r="Q12" i="13"/>
  <c r="C13" i="41"/>
  <c r="I13" i="41" s="1"/>
  <c r="Z51" i="13"/>
  <c r="AA51" i="13"/>
  <c r="I38" i="13"/>
  <c r="G49" i="13" s="1"/>
  <c r="I40" i="13"/>
  <c r="M47" i="13" s="1"/>
  <c r="Z40" i="13"/>
  <c r="C20" i="41"/>
  <c r="I20" i="41" s="1"/>
  <c r="F12" i="13"/>
  <c r="G12" i="13" s="1"/>
  <c r="H12" i="13" s="1"/>
  <c r="Q11" i="13"/>
  <c r="Q21" i="41"/>
  <c r="F21" i="41"/>
  <c r="G21" i="41" s="1"/>
  <c r="H21" i="41" s="1"/>
  <c r="Z10" i="41"/>
  <c r="I21" i="41"/>
  <c r="I10" i="41"/>
  <c r="AB44" i="37"/>
  <c r="F18" i="13"/>
  <c r="B61" i="36"/>
  <c r="B177" i="36"/>
  <c r="B293" i="36"/>
  <c r="B3" i="36"/>
  <c r="B207" i="36" s="1"/>
  <c r="F6" i="13"/>
  <c r="F35" i="13" s="1"/>
  <c r="A1" i="34"/>
  <c r="A30" i="34" s="1"/>
  <c r="B351" i="36"/>
  <c r="F6" i="34"/>
  <c r="F35" i="34" s="1"/>
  <c r="B119" i="36"/>
  <c r="A233" i="36"/>
  <c r="A291" i="36"/>
  <c r="Q34" i="41"/>
  <c r="I34" i="41"/>
  <c r="O34" i="41"/>
  <c r="Z34" i="41"/>
  <c r="Z37" i="41"/>
  <c r="F10" i="34"/>
  <c r="G10" i="34" s="1"/>
  <c r="H10" i="34" s="1"/>
  <c r="Q41" i="34"/>
  <c r="BI22" i="34"/>
  <c r="BA22" i="34" s="1"/>
  <c r="N13" i="37"/>
  <c r="O41" i="34"/>
  <c r="BI21" i="34"/>
  <c r="BM21" i="34"/>
  <c r="AY22" i="34"/>
  <c r="AP22" i="34"/>
  <c r="BI24" i="34"/>
  <c r="BM24" i="34"/>
  <c r="G16" i="34"/>
  <c r="G18" i="34"/>
  <c r="G48" i="34"/>
  <c r="M49" i="34"/>
  <c r="Z9" i="34"/>
  <c r="Z39" i="34"/>
  <c r="O11" i="34"/>
  <c r="C28" i="41"/>
  <c r="Q28" i="41" s="1"/>
  <c r="F17" i="34"/>
  <c r="BM22" i="34"/>
  <c r="F39" i="34"/>
  <c r="G39" i="34" s="1"/>
  <c r="H39" i="34" s="1"/>
  <c r="C35" i="41"/>
  <c r="F35" i="41" s="1"/>
  <c r="G35" i="41" s="1"/>
  <c r="H35" i="41" s="1"/>
  <c r="AG11" i="34"/>
  <c r="O9" i="34"/>
  <c r="L98" i="36"/>
  <c r="L99" i="36" s="1"/>
  <c r="L110" i="36" s="1"/>
  <c r="Z22" i="34"/>
  <c r="AG9" i="34"/>
  <c r="AA22" i="34"/>
  <c r="C26" i="41"/>
  <c r="F26" i="41" s="1"/>
  <c r="G26" i="41" s="1"/>
  <c r="H26" i="41" s="1"/>
  <c r="Q39" i="34"/>
  <c r="F11" i="34"/>
  <c r="G11" i="34" s="1"/>
  <c r="H11" i="34" s="1"/>
  <c r="AG39" i="34"/>
  <c r="I11" i="34"/>
  <c r="M17" i="34" s="1"/>
  <c r="B237" i="36"/>
  <c r="B238" i="36" s="1"/>
  <c r="A10" i="36"/>
  <c r="A13" i="36" s="1"/>
  <c r="F19" i="41"/>
  <c r="G19" i="41" s="1"/>
  <c r="H19" i="41" s="1"/>
  <c r="Z11" i="41"/>
  <c r="BM54" i="13"/>
  <c r="BH54" i="13" s="1"/>
  <c r="BZ49" i="13" s="1"/>
  <c r="BY50" i="13" s="1"/>
  <c r="O10" i="41"/>
  <c r="G16" i="13"/>
  <c r="BM21" i="13"/>
  <c r="BH21" i="13" s="1"/>
  <c r="BX19" i="13" s="1"/>
  <c r="BW20" i="13" s="1"/>
  <c r="BM49" i="13"/>
  <c r="BI49" i="13"/>
  <c r="BI23" i="13"/>
  <c r="BM23" i="13"/>
  <c r="BI21" i="13"/>
  <c r="BM53" i="13"/>
  <c r="BH53" i="13" s="1"/>
  <c r="BV47" i="13" s="1"/>
  <c r="BI53" i="13"/>
  <c r="AQ53" i="13" s="1"/>
  <c r="BI22" i="13"/>
  <c r="BA22" i="13" s="1"/>
  <c r="BM22" i="13"/>
  <c r="BI54" i="13"/>
  <c r="G20" i="13"/>
  <c r="L219" i="36"/>
  <c r="N221" i="36" s="1"/>
  <c r="AA16" i="34"/>
  <c r="Z11" i="13"/>
  <c r="Z12" i="13"/>
  <c r="I11" i="13"/>
  <c r="G21" i="13" s="1"/>
  <c r="O11" i="13"/>
  <c r="B383" i="36"/>
  <c r="B384" i="36" s="1"/>
  <c r="F21" i="13"/>
  <c r="AB45" i="37"/>
  <c r="B267" i="36"/>
  <c r="B268" i="36" s="1"/>
  <c r="Y22" i="34"/>
  <c r="F10" i="41"/>
  <c r="G10" i="41" s="1"/>
  <c r="H10" i="41" s="1"/>
  <c r="C12" i="41"/>
  <c r="O12" i="41" s="1"/>
  <c r="AA16" i="13"/>
  <c r="Y51" i="13"/>
  <c r="F11" i="41"/>
  <c r="G11" i="41" s="1"/>
  <c r="H11" i="41" s="1"/>
  <c r="F46" i="13"/>
  <c r="M48" i="13"/>
  <c r="G20" i="34"/>
  <c r="G46" i="34"/>
  <c r="A1" i="36"/>
  <c r="A1" i="13"/>
  <c r="A30" i="13" s="1"/>
  <c r="A59" i="36"/>
  <c r="A117" i="36"/>
  <c r="A175" i="36"/>
  <c r="B22" i="42"/>
  <c r="H22" i="42"/>
  <c r="D14" i="42"/>
  <c r="F23" i="42"/>
  <c r="D9" i="42"/>
  <c r="G20" i="42"/>
  <c r="B20" i="42"/>
  <c r="E23" i="42"/>
  <c r="D20" i="42"/>
  <c r="B9" i="42"/>
  <c r="E9" i="42"/>
  <c r="F9" i="42"/>
  <c r="F20" i="42"/>
  <c r="B23" i="42"/>
  <c r="G22" i="42"/>
  <c r="D22" i="42"/>
  <c r="E22" i="42"/>
  <c r="G9" i="42"/>
  <c r="E20" i="42"/>
  <c r="E16" i="42"/>
  <c r="B16" i="42"/>
  <c r="E8" i="42"/>
  <c r="F8" i="42"/>
  <c r="G16" i="42"/>
  <c r="H16" i="42"/>
  <c r="D16" i="42"/>
  <c r="F16" i="42"/>
  <c r="H10" i="42"/>
  <c r="F18" i="42"/>
  <c r="G10" i="42"/>
  <c r="B18" i="42"/>
  <c r="E10" i="42"/>
  <c r="E18" i="42"/>
  <c r="F13" i="42"/>
  <c r="H13" i="42"/>
  <c r="F10" i="42"/>
  <c r="B10" i="42"/>
  <c r="H11" i="42"/>
  <c r="G18" i="42"/>
  <c r="A40" i="36"/>
  <c r="A43" i="36" s="1"/>
  <c r="L330" i="36"/>
  <c r="L331" i="36" s="1"/>
  <c r="L342" i="36" s="1"/>
  <c r="L129" i="36"/>
  <c r="N128" i="36"/>
  <c r="A306" i="36"/>
  <c r="A314" i="36" s="1"/>
  <c r="L393" i="36"/>
  <c r="L396" i="36" s="1"/>
  <c r="A277" i="36"/>
  <c r="A280" i="36" s="1"/>
  <c r="C307" i="36"/>
  <c r="N360" i="36"/>
  <c r="E17" i="42"/>
  <c r="L359" i="36"/>
  <c r="L370" i="36" s="1"/>
  <c r="L250" i="36"/>
  <c r="K10" i="37"/>
  <c r="L301" i="36"/>
  <c r="L312" i="36" s="1"/>
  <c r="A192" i="36"/>
  <c r="A361" i="36"/>
  <c r="A243" i="36"/>
  <c r="A254" i="36" s="1"/>
  <c r="N302" i="36"/>
  <c r="D11" i="42"/>
  <c r="E12" i="42"/>
  <c r="L248" i="36"/>
  <c r="L256" i="36" s="1"/>
  <c r="M179" i="36"/>
  <c r="M180" i="36" s="1"/>
  <c r="D12" i="42"/>
  <c r="E13" i="42"/>
  <c r="G13" i="42"/>
  <c r="F11" i="42"/>
  <c r="B11" i="42"/>
  <c r="B12" i="42"/>
  <c r="A391" i="36"/>
  <c r="D13" i="42"/>
  <c r="C390" i="36"/>
  <c r="G12" i="42"/>
  <c r="F12" i="42"/>
  <c r="F15" i="42"/>
  <c r="B15" i="42"/>
  <c r="G15" i="42"/>
  <c r="D15" i="42"/>
  <c r="C100" i="36"/>
  <c r="M267" i="36"/>
  <c r="M268" i="36" s="1"/>
  <c r="L243" i="36"/>
  <c r="L254" i="36" s="1"/>
  <c r="G14" i="42"/>
  <c r="C163" i="36"/>
  <c r="G17" i="42"/>
  <c r="H17" i="42"/>
  <c r="K16" i="37"/>
  <c r="A164" i="36"/>
  <c r="L4" i="36"/>
  <c r="C186" i="36"/>
  <c r="L161" i="36"/>
  <c r="L162" i="36" s="1"/>
  <c r="L170" i="36" s="1"/>
  <c r="M121" i="36"/>
  <c r="M122" i="36" s="1"/>
  <c r="F14" i="42"/>
  <c r="C302" i="36"/>
  <c r="B17" i="42"/>
  <c r="F17" i="42"/>
  <c r="A34" i="36"/>
  <c r="L10" i="36"/>
  <c r="L11" i="36" s="1"/>
  <c r="L22" i="36" s="1"/>
  <c r="E14" i="42"/>
  <c r="A132" i="36"/>
  <c r="A140" i="36" s="1"/>
  <c r="A185" i="36"/>
  <c r="A196" i="36" s="1"/>
  <c r="H14" i="42"/>
  <c r="S10" i="37"/>
  <c r="C47" i="36"/>
  <c r="A46" i="36"/>
  <c r="A54" i="36" s="1"/>
  <c r="A48" i="36"/>
  <c r="A129" i="36"/>
  <c r="C128" i="36"/>
  <c r="K12" i="37"/>
  <c r="A74" i="36"/>
  <c r="A82" i="36" s="1"/>
  <c r="B5" i="36"/>
  <c r="B6" i="36" s="1"/>
  <c r="L336" i="36"/>
  <c r="L344" i="36" s="1"/>
  <c r="A103" i="36"/>
  <c r="A104" i="36" s="1"/>
  <c r="A112" i="36" s="1"/>
  <c r="B179" i="36"/>
  <c r="B180" i="36" s="1"/>
  <c r="A68" i="36"/>
  <c r="A69" i="36" s="1"/>
  <c r="A80" i="36" s="1"/>
  <c r="M35" i="36"/>
  <c r="M36" i="36" s="1"/>
  <c r="M209" i="36"/>
  <c r="M210" i="36" s="1"/>
  <c r="C75" i="36"/>
  <c r="M151" i="36"/>
  <c r="M152" i="36" s="1"/>
  <c r="N23" i="37"/>
  <c r="L277" i="36"/>
  <c r="L278" i="36" s="1"/>
  <c r="L286" i="36" s="1"/>
  <c r="H23" i="42"/>
  <c r="E15" i="42"/>
  <c r="L45" i="36"/>
  <c r="N47" i="36" s="1"/>
  <c r="H35" i="37"/>
  <c r="M353" i="36"/>
  <c r="M354" i="36" s="1"/>
  <c r="S20" i="37"/>
  <c r="A156" i="36"/>
  <c r="X22" i="13"/>
  <c r="AB22" i="13" s="1"/>
  <c r="C26" i="13" s="1"/>
  <c r="AA51" i="34"/>
  <c r="C45" i="37"/>
  <c r="A99" i="36"/>
  <c r="A110" i="36" s="1"/>
  <c r="H15" i="42"/>
  <c r="B151" i="36"/>
  <c r="B152" i="36" s="1"/>
  <c r="L73" i="36"/>
  <c r="K20" i="37"/>
  <c r="C44" i="37"/>
  <c r="Z51" i="34"/>
  <c r="O21" i="41"/>
  <c r="C17" i="36"/>
  <c r="A18" i="36"/>
  <c r="A16" i="36"/>
  <c r="A24" i="36" s="1"/>
  <c r="L104" i="36"/>
  <c r="L112" i="36" s="1"/>
  <c r="L106" i="36"/>
  <c r="N105" i="36"/>
  <c r="N17" i="36"/>
  <c r="L16" i="36"/>
  <c r="L24" i="36" s="1"/>
  <c r="L18" i="36"/>
  <c r="L71" i="36"/>
  <c r="K22" i="37"/>
  <c r="S18" i="37"/>
  <c r="A217" i="36"/>
  <c r="L214" i="36"/>
  <c r="H33" i="37"/>
  <c r="C216" i="36"/>
  <c r="N17" i="37"/>
  <c r="E43" i="37"/>
  <c r="B35" i="36"/>
  <c r="B36" i="36" s="1"/>
  <c r="N70" i="36"/>
  <c r="A127" i="36"/>
  <c r="A138" i="36" s="1"/>
  <c r="B209" i="36"/>
  <c r="B210" i="36" s="1"/>
  <c r="L338" i="36"/>
  <c r="V37" i="37"/>
  <c r="Y6" i="34"/>
  <c r="Y35" i="34" s="1"/>
  <c r="Y6" i="13"/>
  <c r="Y35" i="13" s="1"/>
  <c r="BI50" i="34"/>
  <c r="BM50" i="34"/>
  <c r="BM53" i="34"/>
  <c r="BI53" i="34"/>
  <c r="BM20" i="13"/>
  <c r="BI20" i="13"/>
  <c r="BI51" i="34"/>
  <c r="BM51" i="34"/>
  <c r="BI25" i="34"/>
  <c r="BM25" i="34"/>
  <c r="BM20" i="34"/>
  <c r="BI20" i="34"/>
  <c r="BM24" i="13"/>
  <c r="BI24" i="13"/>
  <c r="BM25" i="13"/>
  <c r="BI25" i="13"/>
  <c r="F4" i="34"/>
  <c r="F33" i="34" s="1"/>
  <c r="F4" i="13"/>
  <c r="F33" i="13" s="1"/>
  <c r="AY49" i="13"/>
  <c r="AE49" i="13"/>
  <c r="AP49" i="13"/>
  <c r="BB49" i="13"/>
  <c r="AS49" i="13"/>
  <c r="B19" i="42"/>
  <c r="D19" i="42"/>
  <c r="H19" i="42"/>
  <c r="F19" i="42"/>
  <c r="G19" i="42"/>
  <c r="E19" i="42"/>
  <c r="BM54" i="34"/>
  <c r="BI54" i="34"/>
  <c r="BI52" i="34"/>
  <c r="BM52" i="34"/>
  <c r="BI49" i="34"/>
  <c r="BM49" i="34"/>
  <c r="BI23" i="34"/>
  <c r="BM23" i="34"/>
  <c r="BM52" i="13"/>
  <c r="BI52" i="13"/>
  <c r="BI50" i="13"/>
  <c r="BM50" i="13"/>
  <c r="BI51" i="13"/>
  <c r="BM51" i="13"/>
  <c r="C29" i="41"/>
  <c r="F12" i="34"/>
  <c r="G12" i="34" s="1"/>
  <c r="H12" i="34" s="1"/>
  <c r="O12" i="34"/>
  <c r="AG12" i="34"/>
  <c r="Q12" i="34"/>
  <c r="I12" i="34"/>
  <c r="AP53" i="13"/>
  <c r="G19" i="13"/>
  <c r="M46" i="34"/>
  <c r="BH21" i="34"/>
  <c r="BX19" i="34" s="1"/>
  <c r="Y41" i="37"/>
  <c r="L388" i="36"/>
  <c r="N274" i="36"/>
  <c r="L275" i="36"/>
  <c r="L273" i="36"/>
  <c r="L284" i="36" s="1"/>
  <c r="L132" i="36"/>
  <c r="L140" i="36" s="1"/>
  <c r="L134" i="36"/>
  <c r="N133" i="36"/>
  <c r="A272" i="36"/>
  <c r="V33" i="37"/>
  <c r="B121" i="36"/>
  <c r="B122" i="36" s="1"/>
  <c r="K28" i="37"/>
  <c r="B353" i="36"/>
  <c r="B354" i="36" s="1"/>
  <c r="Z36" i="41"/>
  <c r="O36" i="41"/>
  <c r="A220" i="36"/>
  <c r="A228" i="36" s="1"/>
  <c r="C221" i="36"/>
  <c r="F47" i="34"/>
  <c r="F46" i="34"/>
  <c r="F50" i="34"/>
  <c r="F49" i="34"/>
  <c r="G23" i="42"/>
  <c r="D23" i="42"/>
  <c r="L40" i="36"/>
  <c r="N25" i="37"/>
  <c r="F17" i="13"/>
  <c r="F20" i="13"/>
  <c r="C249" i="36"/>
  <c r="A250" i="36"/>
  <c r="A248" i="36"/>
  <c r="A256" i="36" s="1"/>
  <c r="C337" i="36"/>
  <c r="A338" i="36"/>
  <c r="A364" i="36"/>
  <c r="A372" i="36" s="1"/>
  <c r="A366" i="36"/>
  <c r="L190" i="36"/>
  <c r="L198" i="36" s="1"/>
  <c r="N191" i="36"/>
  <c r="C21" i="42"/>
  <c r="C40" i="37"/>
  <c r="H8" i="42"/>
  <c r="D8" i="42"/>
  <c r="Z38" i="13"/>
  <c r="O38" i="13"/>
  <c r="Q38" i="34"/>
  <c r="AG38" i="34"/>
  <c r="F21" i="34"/>
  <c r="F20" i="34"/>
  <c r="F48" i="13"/>
  <c r="F47" i="13"/>
  <c r="AG11" i="13"/>
  <c r="P26" i="13"/>
  <c r="P55" i="13" s="1"/>
  <c r="M20" i="13" l="1"/>
  <c r="L306" i="36"/>
  <c r="L314" i="36" s="1"/>
  <c r="I11" i="41"/>
  <c r="M20" i="34"/>
  <c r="Q11" i="41"/>
  <c r="M119" i="36"/>
  <c r="I36" i="41"/>
  <c r="G47" i="34"/>
  <c r="G45" i="34"/>
  <c r="G50" i="34"/>
  <c r="F36" i="41"/>
  <c r="G36" i="41" s="1"/>
  <c r="H36" i="41" s="1"/>
  <c r="M323" i="36"/>
  <c r="I28" i="41"/>
  <c r="I37" i="41"/>
  <c r="M49" i="13"/>
  <c r="M48" i="34"/>
  <c r="G48" i="13"/>
  <c r="Q37" i="41"/>
  <c r="M45" i="34"/>
  <c r="L308" i="36"/>
  <c r="Z27" i="41"/>
  <c r="Q27" i="41"/>
  <c r="O27" i="41"/>
  <c r="G17" i="34"/>
  <c r="I19" i="41"/>
  <c r="F27" i="41"/>
  <c r="G27" i="41" s="1"/>
  <c r="H27" i="41" s="1"/>
  <c r="O19" i="41"/>
  <c r="Q19" i="41"/>
  <c r="M235" i="36"/>
  <c r="B149" i="36"/>
  <c r="M207" i="36"/>
  <c r="M293" i="36"/>
  <c r="M33" i="36"/>
  <c r="M46" i="13"/>
  <c r="Q13" i="41"/>
  <c r="B265" i="36"/>
  <c r="M61" i="36"/>
  <c r="M351" i="36"/>
  <c r="M149" i="36"/>
  <c r="M3" i="36"/>
  <c r="B323" i="36"/>
  <c r="M91" i="36"/>
  <c r="G45" i="13"/>
  <c r="G47" i="13"/>
  <c r="B381" i="36"/>
  <c r="M381" i="36"/>
  <c r="M265" i="36"/>
  <c r="B33" i="36"/>
  <c r="AE22" i="34"/>
  <c r="AR22" i="34"/>
  <c r="AB22" i="34"/>
  <c r="C25" i="34" s="1"/>
  <c r="J25" i="34" s="1"/>
  <c r="O35" i="41"/>
  <c r="F12" i="41"/>
  <c r="G12" i="41" s="1"/>
  <c r="H12" i="41" s="1"/>
  <c r="F13" i="41"/>
  <c r="G13" i="41" s="1"/>
  <c r="H13" i="41" s="1"/>
  <c r="O13" i="41"/>
  <c r="Z13" i="41"/>
  <c r="G50" i="13"/>
  <c r="AP22" i="13"/>
  <c r="C27" i="13"/>
  <c r="J27" i="13" s="1"/>
  <c r="O18" i="41"/>
  <c r="Q20" i="41"/>
  <c r="I18" i="41"/>
  <c r="F20" i="41"/>
  <c r="G20" i="41" s="1"/>
  <c r="H20" i="41" s="1"/>
  <c r="O20" i="41"/>
  <c r="M16" i="13"/>
  <c r="Z20" i="41"/>
  <c r="Z18" i="41"/>
  <c r="F18" i="41"/>
  <c r="G18" i="41" s="1"/>
  <c r="H18" i="41" s="1"/>
  <c r="M21" i="13"/>
  <c r="AB51" i="13"/>
  <c r="C57" i="13" s="1"/>
  <c r="Z28" i="41"/>
  <c r="Z26" i="41"/>
  <c r="O28" i="41"/>
  <c r="F28" i="41"/>
  <c r="G28" i="41" s="1"/>
  <c r="H28" i="41" s="1"/>
  <c r="B91" i="36"/>
  <c r="M177" i="36"/>
  <c r="L333" i="36"/>
  <c r="N100" i="36"/>
  <c r="A11" i="36"/>
  <c r="A22" i="36" s="1"/>
  <c r="I35" i="41"/>
  <c r="C12" i="36"/>
  <c r="Q35" i="41"/>
  <c r="Q26" i="41"/>
  <c r="Z35" i="41"/>
  <c r="AY24" i="34"/>
  <c r="AP24" i="34"/>
  <c r="AZ24" i="34"/>
  <c r="AE24" i="34"/>
  <c r="AQ24" i="34"/>
  <c r="G21" i="34"/>
  <c r="M18" i="34"/>
  <c r="I26" i="41"/>
  <c r="O26" i="41"/>
  <c r="L220" i="36"/>
  <c r="L228" i="36" s="1"/>
  <c r="BL21" i="34"/>
  <c r="BY19" i="34" s="1"/>
  <c r="BV20" i="34" s="1"/>
  <c r="L101" i="36"/>
  <c r="C42" i="36"/>
  <c r="L222" i="36"/>
  <c r="BH22" i="34"/>
  <c r="BX18" i="34" s="1"/>
  <c r="BH24" i="34"/>
  <c r="BV18" i="34" s="1"/>
  <c r="AE21" i="34"/>
  <c r="AR21" i="34"/>
  <c r="AQ21" i="34"/>
  <c r="AZ21" i="34"/>
  <c r="BA21" i="34"/>
  <c r="A41" i="36"/>
  <c r="A52" i="36" s="1"/>
  <c r="C25" i="13"/>
  <c r="K25" i="13" s="1"/>
  <c r="C28" i="13"/>
  <c r="K28" i="13" s="1"/>
  <c r="M23" i="13"/>
  <c r="AA23" i="13" s="1"/>
  <c r="AB12" i="13" s="1"/>
  <c r="AH8" i="37" s="1"/>
  <c r="AG8" i="37" s="1"/>
  <c r="AY53" i="13"/>
  <c r="AZ53" i="13"/>
  <c r="BL53" i="13"/>
  <c r="BW47" i="13" s="1"/>
  <c r="BT48" i="13" s="1"/>
  <c r="L394" i="36"/>
  <c r="L402" i="36" s="1"/>
  <c r="N395" i="36"/>
  <c r="AE53" i="13"/>
  <c r="N332" i="36"/>
  <c r="N163" i="36"/>
  <c r="M52" i="13"/>
  <c r="X52" i="13" s="1"/>
  <c r="AB38" i="13" s="1"/>
  <c r="AH9" i="37" s="1"/>
  <c r="AG9" i="37" s="1"/>
  <c r="Z12" i="41"/>
  <c r="I12" i="41"/>
  <c r="Q12" i="41"/>
  <c r="BH22" i="13"/>
  <c r="BX18" i="13" s="1"/>
  <c r="AQ21" i="13"/>
  <c r="BA21" i="13"/>
  <c r="AR21" i="13"/>
  <c r="AE21" i="13"/>
  <c r="AZ21" i="13"/>
  <c r="BH23" i="13"/>
  <c r="BZ19" i="13" s="1"/>
  <c r="AS54" i="13"/>
  <c r="AR54" i="13"/>
  <c r="BA54" i="13"/>
  <c r="BB54" i="13"/>
  <c r="AY22" i="13"/>
  <c r="AR22" i="13"/>
  <c r="AE22" i="13"/>
  <c r="AQ23" i="13"/>
  <c r="AZ23" i="13"/>
  <c r="AS23" i="13"/>
  <c r="BB23" i="13"/>
  <c r="AE23" i="13"/>
  <c r="A278" i="36"/>
  <c r="A286" i="36" s="1"/>
  <c r="BL21" i="13"/>
  <c r="BY19" i="13" s="1"/>
  <c r="BL54" i="13"/>
  <c r="CA49" i="13" s="1"/>
  <c r="C279" i="36"/>
  <c r="M17" i="13"/>
  <c r="M18" i="13"/>
  <c r="AE54" i="13"/>
  <c r="BH49" i="13"/>
  <c r="BZ47" i="13" s="1"/>
  <c r="AB51" i="34"/>
  <c r="C54" i="34" s="1"/>
  <c r="L379" i="36"/>
  <c r="L117" i="36"/>
  <c r="L59" i="36"/>
  <c r="L147" i="36"/>
  <c r="L31" i="36"/>
  <c r="L1" i="36"/>
  <c r="L89" i="36"/>
  <c r="L205" i="36"/>
  <c r="L321" i="36"/>
  <c r="L263" i="36"/>
  <c r="A31" i="36"/>
  <c r="A321" i="36"/>
  <c r="A205" i="36"/>
  <c r="A147" i="36"/>
  <c r="L233" i="36"/>
  <c r="L291" i="36"/>
  <c r="L175" i="36"/>
  <c r="A379" i="36"/>
  <c r="L349" i="36"/>
  <c r="A263" i="36"/>
  <c r="A89" i="36"/>
  <c r="N12" i="36"/>
  <c r="L164" i="36"/>
  <c r="L13" i="36"/>
  <c r="L48" i="36"/>
  <c r="L46" i="36"/>
  <c r="L54" i="36" s="1"/>
  <c r="N279" i="36"/>
  <c r="C105" i="36"/>
  <c r="C70" i="36"/>
  <c r="A71" i="36"/>
  <c r="L280" i="36"/>
  <c r="A106" i="36"/>
  <c r="N75" i="36"/>
  <c r="L76" i="36"/>
  <c r="L74" i="36"/>
  <c r="L82" i="36" s="1"/>
  <c r="C158" i="36"/>
  <c r="A159" i="36"/>
  <c r="A157" i="36"/>
  <c r="A168" i="36" s="1"/>
  <c r="L215" i="36"/>
  <c r="L226" i="36" s="1"/>
  <c r="L217" i="36"/>
  <c r="N216" i="36"/>
  <c r="J26" i="13"/>
  <c r="K26" i="13"/>
  <c r="E26" i="13"/>
  <c r="BH51" i="13"/>
  <c r="BX47" i="13" s="1"/>
  <c r="AS52" i="13"/>
  <c r="AZ52" i="13"/>
  <c r="AE52" i="13"/>
  <c r="BB52" i="13"/>
  <c r="AQ52" i="13"/>
  <c r="AR54" i="34"/>
  <c r="AS54" i="34"/>
  <c r="BB54" i="34"/>
  <c r="BA54" i="34"/>
  <c r="AE54" i="34"/>
  <c r="AP24" i="13"/>
  <c r="AZ24" i="13"/>
  <c r="AY24" i="13"/>
  <c r="AQ24" i="13"/>
  <c r="AE51" i="34"/>
  <c r="AR51" i="34"/>
  <c r="BA51" i="34"/>
  <c r="AY51" i="34"/>
  <c r="AP51" i="34"/>
  <c r="BA51" i="13"/>
  <c r="AP51" i="13"/>
  <c r="AP55" i="13" s="1"/>
  <c r="AR51" i="13"/>
  <c r="AE51" i="13"/>
  <c r="AY51" i="13"/>
  <c r="BH54" i="34"/>
  <c r="BZ49" i="34" s="1"/>
  <c r="BH25" i="34"/>
  <c r="BZ20" i="34" s="1"/>
  <c r="BH23" i="34"/>
  <c r="BZ19" i="34" s="1"/>
  <c r="BH52" i="34"/>
  <c r="BZ48" i="34" s="1"/>
  <c r="AE25" i="13"/>
  <c r="BA25" i="13"/>
  <c r="AR25" i="13"/>
  <c r="AS25" i="13"/>
  <c r="BB25" i="13"/>
  <c r="AE24" i="13"/>
  <c r="BA25" i="34"/>
  <c r="BB25" i="34"/>
  <c r="AS25" i="34"/>
  <c r="AE25" i="34"/>
  <c r="AR25" i="34"/>
  <c r="AR26" i="34" s="1"/>
  <c r="AE53" i="34"/>
  <c r="AZ53" i="34"/>
  <c r="AY53" i="34"/>
  <c r="AP53" i="34"/>
  <c r="AQ53" i="34"/>
  <c r="BU48" i="13"/>
  <c r="H21" i="42"/>
  <c r="D21" i="42"/>
  <c r="E21" i="42"/>
  <c r="G21" i="42"/>
  <c r="F21" i="42"/>
  <c r="B21" i="42"/>
  <c r="BH49" i="34"/>
  <c r="BZ47" i="34" s="1"/>
  <c r="BH20" i="34"/>
  <c r="BZ18" i="34" s="1"/>
  <c r="AE20" i="13"/>
  <c r="AY20" i="13"/>
  <c r="BB20" i="13"/>
  <c r="AS20" i="13"/>
  <c r="AP20" i="13"/>
  <c r="BH50" i="34"/>
  <c r="BX48" i="34" s="1"/>
  <c r="BH52" i="13"/>
  <c r="BZ48" i="13" s="1"/>
  <c r="AY49" i="34"/>
  <c r="AP49" i="34"/>
  <c r="AE49" i="34"/>
  <c r="BB49" i="34"/>
  <c r="AS49" i="34"/>
  <c r="BH24" i="13"/>
  <c r="BV18" i="13" s="1"/>
  <c r="BH20" i="13"/>
  <c r="BZ18" i="13" s="1"/>
  <c r="AE50" i="34"/>
  <c r="AZ50" i="34"/>
  <c r="BA50" i="34"/>
  <c r="AR50" i="34"/>
  <c r="AQ50" i="34"/>
  <c r="C274" i="36"/>
  <c r="A273" i="36"/>
  <c r="A284" i="36" s="1"/>
  <c r="A275" i="36"/>
  <c r="CN19" i="34"/>
  <c r="BW20" i="34"/>
  <c r="CN20" i="34" s="1"/>
  <c r="M21" i="34"/>
  <c r="M19" i="34"/>
  <c r="M16" i="34"/>
  <c r="BH50" i="13"/>
  <c r="BX48" i="13" s="1"/>
  <c r="N42" i="36"/>
  <c r="L43" i="36"/>
  <c r="L41" i="36"/>
  <c r="L52" i="36" s="1"/>
  <c r="N390" i="36"/>
  <c r="L389" i="36"/>
  <c r="L400" i="36" s="1"/>
  <c r="L391" i="36"/>
  <c r="I29" i="41"/>
  <c r="F29" i="41"/>
  <c r="G29" i="41" s="1"/>
  <c r="H29" i="41" s="1"/>
  <c r="Q29" i="41"/>
  <c r="Z29" i="41"/>
  <c r="O29" i="41"/>
  <c r="AQ50" i="13"/>
  <c r="AZ50" i="13"/>
  <c r="BA50" i="13"/>
  <c r="AE50" i="13"/>
  <c r="AR50" i="13"/>
  <c r="AS23" i="34"/>
  <c r="AZ23" i="34"/>
  <c r="AE23" i="34"/>
  <c r="AQ23" i="34"/>
  <c r="AQ26" i="34" s="1"/>
  <c r="BB23" i="34"/>
  <c r="BB52" i="34"/>
  <c r="AZ52" i="34"/>
  <c r="AS52" i="34"/>
  <c r="AQ52" i="34"/>
  <c r="AE52" i="34"/>
  <c r="BH25" i="13"/>
  <c r="BZ20" i="13" s="1"/>
  <c r="AY20" i="34"/>
  <c r="AS20" i="34"/>
  <c r="AE20" i="34"/>
  <c r="AP20" i="34"/>
  <c r="BB20" i="34"/>
  <c r="BH51" i="34"/>
  <c r="BX47" i="34" s="1"/>
  <c r="BH53" i="34"/>
  <c r="BV47" i="34" s="1"/>
  <c r="K27" i="13" l="1"/>
  <c r="E27" i="13"/>
  <c r="C27" i="34"/>
  <c r="E27" i="34" s="1"/>
  <c r="E25" i="34"/>
  <c r="C26" i="34"/>
  <c r="J26" i="34" s="1"/>
  <c r="M23" i="34"/>
  <c r="X23" i="34" s="1"/>
  <c r="AB9" i="34" s="1"/>
  <c r="AH13" i="37" s="1"/>
  <c r="AG13" i="37" s="1"/>
  <c r="K25" i="34"/>
  <c r="C28" i="34"/>
  <c r="E28" i="34" s="1"/>
  <c r="BL51" i="34"/>
  <c r="BY47" i="34" s="1"/>
  <c r="BT49" i="34" s="1"/>
  <c r="BL50" i="34"/>
  <c r="BY48" i="34" s="1"/>
  <c r="BV49" i="34" s="1"/>
  <c r="AP26" i="34"/>
  <c r="BL25" i="34"/>
  <c r="CA20" i="34" s="1"/>
  <c r="BX21" i="34" s="1"/>
  <c r="AQ26" i="13"/>
  <c r="AR55" i="13"/>
  <c r="AQ55" i="13"/>
  <c r="E28" i="13"/>
  <c r="AS55" i="13"/>
  <c r="J28" i="13"/>
  <c r="CH48" i="13"/>
  <c r="CF48" i="13" s="1"/>
  <c r="C54" i="13"/>
  <c r="J54" i="13" s="1"/>
  <c r="Z23" i="13"/>
  <c r="AB11" i="13" s="1"/>
  <c r="AH7" i="37" s="1"/>
  <c r="AG7" i="37" s="1"/>
  <c r="J25" i="13"/>
  <c r="C56" i="13"/>
  <c r="E56" i="13" s="1"/>
  <c r="Y52" i="13"/>
  <c r="AB39" i="13" s="1"/>
  <c r="AH10" i="37" s="1"/>
  <c r="AG10" i="37" s="1"/>
  <c r="X23" i="13"/>
  <c r="AB9" i="13" s="1"/>
  <c r="AH2" i="37" s="1"/>
  <c r="AG2" i="37" s="1"/>
  <c r="AK2" i="37" s="1"/>
  <c r="AL2" i="37" s="1"/>
  <c r="C55" i="13"/>
  <c r="K55" i="13" s="1"/>
  <c r="E26" i="34"/>
  <c r="Y23" i="13"/>
  <c r="AB10" i="13" s="1"/>
  <c r="AH6" i="37" s="1"/>
  <c r="AG6" i="37" s="1"/>
  <c r="AP55" i="34"/>
  <c r="CI19" i="34"/>
  <c r="BL54" i="34"/>
  <c r="CA49" i="34" s="1"/>
  <c r="BX50" i="34" s="1"/>
  <c r="BL53" i="34"/>
  <c r="BW47" i="34" s="1"/>
  <c r="BT48" i="34" s="1"/>
  <c r="AS55" i="34"/>
  <c r="BL22" i="34"/>
  <c r="BY18" i="34" s="1"/>
  <c r="BT20" i="34" s="1"/>
  <c r="BL24" i="34"/>
  <c r="BW18" i="34" s="1"/>
  <c r="BT19" i="34" s="1"/>
  <c r="BU19" i="34"/>
  <c r="BU20" i="34"/>
  <c r="E25" i="13"/>
  <c r="E54" i="34"/>
  <c r="J54" i="34"/>
  <c r="AA52" i="13"/>
  <c r="AB41" i="13" s="1"/>
  <c r="AH12" i="37" s="1"/>
  <c r="AG12" i="37" s="1"/>
  <c r="CH47" i="13"/>
  <c r="CF47" i="13" s="1"/>
  <c r="CZ48" i="13" s="1"/>
  <c r="DE48" i="13" s="1"/>
  <c r="BA39" i="13" s="1"/>
  <c r="Z52" i="13"/>
  <c r="AB40" i="13" s="1"/>
  <c r="AH11" i="37" s="1"/>
  <c r="AG11" i="37" s="1"/>
  <c r="CM47" i="13"/>
  <c r="CG47" i="13" s="1"/>
  <c r="CM48" i="13"/>
  <c r="CG48" i="13" s="1"/>
  <c r="BL49" i="13"/>
  <c r="CA47" i="13" s="1"/>
  <c r="BT50" i="13" s="1"/>
  <c r="BL23" i="13"/>
  <c r="CA19" i="13" s="1"/>
  <c r="BV21" i="13" s="1"/>
  <c r="BL22" i="13"/>
  <c r="BY18" i="13" s="1"/>
  <c r="BT20" i="13" s="1"/>
  <c r="BX50" i="13"/>
  <c r="CO49" i="13"/>
  <c r="CJ49" i="13"/>
  <c r="BW21" i="13"/>
  <c r="CN19" i="13"/>
  <c r="BV20" i="13"/>
  <c r="CI19" i="13"/>
  <c r="AP26" i="13"/>
  <c r="AR26" i="13"/>
  <c r="BL51" i="13"/>
  <c r="BY47" i="13" s="1"/>
  <c r="BT49" i="13" s="1"/>
  <c r="BU50" i="13"/>
  <c r="CN18" i="13"/>
  <c r="CI18" i="13"/>
  <c r="BU20" i="13"/>
  <c r="CH20" i="13" s="1"/>
  <c r="CF20" i="13" s="1"/>
  <c r="AY11" i="13" s="1"/>
  <c r="C57" i="34"/>
  <c r="C55" i="34"/>
  <c r="C56" i="34"/>
  <c r="M52" i="34"/>
  <c r="K54" i="34"/>
  <c r="Z23" i="34"/>
  <c r="AB11" i="34" s="1"/>
  <c r="AH15" i="37" s="1"/>
  <c r="AG15" i="37" s="1"/>
  <c r="J57" i="13"/>
  <c r="E57" i="13"/>
  <c r="K57" i="13"/>
  <c r="BU21" i="13"/>
  <c r="CI20" i="34"/>
  <c r="BU50" i="34"/>
  <c r="BW21" i="34"/>
  <c r="BU48" i="34"/>
  <c r="BL25" i="13"/>
  <c r="CA20" i="13" s="1"/>
  <c r="BX21" i="13" s="1"/>
  <c r="BL50" i="13"/>
  <c r="BY48" i="13" s="1"/>
  <c r="BV49" i="13" s="1"/>
  <c r="BL24" i="13"/>
  <c r="BW18" i="13" s="1"/>
  <c r="BT19" i="13" s="1"/>
  <c r="BL52" i="13"/>
  <c r="CA48" i="13" s="1"/>
  <c r="BV50" i="13" s="1"/>
  <c r="AS26" i="13"/>
  <c r="BL20" i="34"/>
  <c r="CA18" i="34" s="1"/>
  <c r="BT21" i="34" s="1"/>
  <c r="BL23" i="34"/>
  <c r="CA19" i="34" s="1"/>
  <c r="BV21" i="34" s="1"/>
  <c r="BY21" i="34"/>
  <c r="CO21" i="34" s="1"/>
  <c r="BY21" i="13"/>
  <c r="CO20" i="13"/>
  <c r="BW49" i="13"/>
  <c r="AQ55" i="34"/>
  <c r="BU19" i="13"/>
  <c r="BW50" i="13"/>
  <c r="BU21" i="34"/>
  <c r="CO18" i="34"/>
  <c r="BW50" i="34"/>
  <c r="AY39" i="13"/>
  <c r="CN47" i="34"/>
  <c r="BU49" i="34"/>
  <c r="CH49" i="34" s="1"/>
  <c r="CF49" i="34" s="1"/>
  <c r="CI47" i="34"/>
  <c r="AS26" i="34"/>
  <c r="AR55" i="34"/>
  <c r="BL20" i="13"/>
  <c r="CA18" i="13" s="1"/>
  <c r="BT21" i="13" s="1"/>
  <c r="BW49" i="34"/>
  <c r="BL49" i="34"/>
  <c r="CA47" i="34" s="1"/>
  <c r="BT50" i="34" s="1"/>
  <c r="BL52" i="34"/>
  <c r="CA48" i="34" s="1"/>
  <c r="BV50" i="34" s="1"/>
  <c r="BY50" i="34"/>
  <c r="CO49" i="34"/>
  <c r="BU49" i="13"/>
  <c r="K26" i="34" l="1"/>
  <c r="K27" i="34"/>
  <c r="J27" i="34"/>
  <c r="J28" i="34"/>
  <c r="K56" i="13"/>
  <c r="K28" i="34"/>
  <c r="CN49" i="34"/>
  <c r="AA23" i="34"/>
  <c r="AB12" i="34" s="1"/>
  <c r="AH16" i="37" s="1"/>
  <c r="AG16" i="37" s="1"/>
  <c r="Y23" i="34"/>
  <c r="AB10" i="34" s="1"/>
  <c r="AH14" i="37" s="1"/>
  <c r="AG14" i="37" s="1"/>
  <c r="CN48" i="34"/>
  <c r="CI48" i="34"/>
  <c r="CJ49" i="34"/>
  <c r="CO20" i="34"/>
  <c r="CO50" i="34"/>
  <c r="CJ20" i="34"/>
  <c r="EQ47" i="13"/>
  <c r="EU47" i="13" s="1"/>
  <c r="EP48" i="13"/>
  <c r="EU48" i="13" s="1"/>
  <c r="CN47" i="13"/>
  <c r="CT47" i="13"/>
  <c r="CX47" i="13" s="1"/>
  <c r="CS48" i="13"/>
  <c r="CX48" i="13" s="1"/>
  <c r="CI47" i="13"/>
  <c r="CM47" i="34"/>
  <c r="CG47" i="34" s="1"/>
  <c r="CM49" i="34"/>
  <c r="CG49" i="34" s="1"/>
  <c r="CH47" i="34"/>
  <c r="CF47" i="34" s="1"/>
  <c r="CM48" i="34"/>
  <c r="CG48" i="34" s="1"/>
  <c r="J56" i="13"/>
  <c r="CJ48" i="13"/>
  <c r="CH49" i="13"/>
  <c r="CF49" i="13" s="1"/>
  <c r="DA47" i="13"/>
  <c r="DE47" i="13" s="1"/>
  <c r="BA38" i="13" s="1"/>
  <c r="DU48" i="13" s="1"/>
  <c r="DZ48" i="13" s="1"/>
  <c r="CO47" i="13"/>
  <c r="J55" i="13"/>
  <c r="E55" i="13"/>
  <c r="E54" i="13"/>
  <c r="K54" i="13"/>
  <c r="AK10" i="37"/>
  <c r="AL10" i="37" s="1"/>
  <c r="AK9" i="37"/>
  <c r="AL9" i="37" s="1"/>
  <c r="CJ47" i="13"/>
  <c r="EI48" i="13"/>
  <c r="EN48" i="13" s="1"/>
  <c r="CH50" i="13"/>
  <c r="CF50" i="13" s="1"/>
  <c r="ES48" i="13" s="1"/>
  <c r="EJ47" i="13"/>
  <c r="EN47" i="13" s="1"/>
  <c r="AY38" i="13"/>
  <c r="DG48" i="13" s="1"/>
  <c r="DL48" i="13" s="1"/>
  <c r="CH18" i="34"/>
  <c r="CF18" i="34" s="1"/>
  <c r="CH48" i="34"/>
  <c r="CF48" i="34" s="1"/>
  <c r="DA49" i="34" s="1"/>
  <c r="CM18" i="34"/>
  <c r="CG18" i="34" s="1"/>
  <c r="CJ48" i="34"/>
  <c r="CI18" i="34"/>
  <c r="CN18" i="34"/>
  <c r="CH19" i="34"/>
  <c r="CF19" i="34" s="1"/>
  <c r="CM19" i="34"/>
  <c r="CG19" i="34" s="1"/>
  <c r="AY9" i="34"/>
  <c r="CM20" i="34"/>
  <c r="CG20" i="34" s="1"/>
  <c r="CH20" i="34"/>
  <c r="CF20" i="34" s="1"/>
  <c r="EK18" i="34" s="1"/>
  <c r="CH18" i="13"/>
  <c r="CF18" i="13" s="1"/>
  <c r="AY9" i="13" s="1"/>
  <c r="CJ19" i="13"/>
  <c r="CO19" i="13"/>
  <c r="CM18" i="13"/>
  <c r="CG18" i="13" s="1"/>
  <c r="CN21" i="13"/>
  <c r="CM20" i="13"/>
  <c r="CG20" i="13" s="1"/>
  <c r="DV47" i="13"/>
  <c r="DZ47" i="13" s="1"/>
  <c r="CN20" i="13"/>
  <c r="CI20" i="13"/>
  <c r="CI21" i="13"/>
  <c r="CM49" i="13"/>
  <c r="CG49" i="13" s="1"/>
  <c r="CO48" i="13"/>
  <c r="CO50" i="13"/>
  <c r="CJ50" i="13"/>
  <c r="CM50" i="13"/>
  <c r="CG50" i="13" s="1"/>
  <c r="AA52" i="34"/>
  <c r="AB41" i="34" s="1"/>
  <c r="AH20" i="37" s="1"/>
  <c r="AG20" i="37" s="1"/>
  <c r="Y52" i="34"/>
  <c r="AB39" i="34" s="1"/>
  <c r="AH18" i="37" s="1"/>
  <c r="AG18" i="37" s="1"/>
  <c r="Z52" i="34"/>
  <c r="AB40" i="34" s="1"/>
  <c r="AH19" i="37" s="1"/>
  <c r="AG19" i="37" s="1"/>
  <c r="X52" i="34"/>
  <c r="AB38" i="34" s="1"/>
  <c r="AH17" i="37" s="1"/>
  <c r="AG17" i="37" s="1"/>
  <c r="J56" i="34"/>
  <c r="E56" i="34"/>
  <c r="K56" i="34"/>
  <c r="E55" i="34"/>
  <c r="K55" i="34"/>
  <c r="J55" i="34"/>
  <c r="E57" i="34"/>
  <c r="J57" i="34"/>
  <c r="K57" i="34"/>
  <c r="ES49" i="13"/>
  <c r="CS49" i="13"/>
  <c r="CX49" i="13" s="1"/>
  <c r="EI49" i="13"/>
  <c r="EN49" i="13" s="1"/>
  <c r="AY40" i="13"/>
  <c r="EQ49" i="13"/>
  <c r="CZ49" i="13"/>
  <c r="DE49" i="13" s="1"/>
  <c r="BA40" i="13" s="1"/>
  <c r="DV49" i="13" s="1"/>
  <c r="EP49" i="13"/>
  <c r="EU49" i="13" s="1"/>
  <c r="EJ49" i="13"/>
  <c r="CT49" i="13"/>
  <c r="DA49" i="13"/>
  <c r="DB48" i="13"/>
  <c r="DB47" i="13"/>
  <c r="EK47" i="13"/>
  <c r="ER48" i="13"/>
  <c r="ER47" i="13"/>
  <c r="EK48" i="13"/>
  <c r="CU48" i="13"/>
  <c r="CU50" i="13"/>
  <c r="CU47" i="13"/>
  <c r="DB50" i="13"/>
  <c r="EI49" i="34"/>
  <c r="EN49" i="34" s="1"/>
  <c r="CS49" i="34"/>
  <c r="CX49" i="34" s="1"/>
  <c r="EP49" i="34"/>
  <c r="EU49" i="34" s="1"/>
  <c r="CZ49" i="34"/>
  <c r="DE49" i="34" s="1"/>
  <c r="BA40" i="34" s="1"/>
  <c r="AY40" i="34"/>
  <c r="CJ21" i="13"/>
  <c r="CO21" i="13"/>
  <c r="CJ21" i="34"/>
  <c r="EK48" i="34"/>
  <c r="CO48" i="34"/>
  <c r="CI48" i="13"/>
  <c r="CJ47" i="34"/>
  <c r="CJ50" i="34"/>
  <c r="BC39" i="13"/>
  <c r="DN48" i="13"/>
  <c r="DS48" i="13" s="1"/>
  <c r="BB39" i="13" s="1"/>
  <c r="CI49" i="34"/>
  <c r="CJ20" i="13"/>
  <c r="CN50" i="13"/>
  <c r="CI50" i="13"/>
  <c r="ER47" i="34"/>
  <c r="DB47" i="34"/>
  <c r="EQ47" i="34"/>
  <c r="EU47" i="34" s="1"/>
  <c r="EK47" i="34"/>
  <c r="AY38" i="34"/>
  <c r="CU47" i="34"/>
  <c r="CJ19" i="34"/>
  <c r="CO18" i="13"/>
  <c r="CM50" i="34"/>
  <c r="CG50" i="34" s="1"/>
  <c r="CH50" i="34"/>
  <c r="CF50" i="34" s="1"/>
  <c r="EL49" i="34" s="1"/>
  <c r="EQ52" i="13"/>
  <c r="BE39" i="13"/>
  <c r="BF39" i="13" s="1"/>
  <c r="CM21" i="34"/>
  <c r="CG21" i="34" s="1"/>
  <c r="CH21" i="34"/>
  <c r="CF21" i="34" s="1"/>
  <c r="CN49" i="13"/>
  <c r="CI49" i="13"/>
  <c r="CN50" i="34"/>
  <c r="CI50" i="34"/>
  <c r="BC38" i="13"/>
  <c r="EP52" i="13"/>
  <c r="BE38" i="13"/>
  <c r="BF38" i="13" s="1"/>
  <c r="CM21" i="13"/>
  <c r="CG21" i="13" s="1"/>
  <c r="CH21" i="13"/>
  <c r="CF21" i="13" s="1"/>
  <c r="CJ18" i="34"/>
  <c r="CN48" i="13"/>
  <c r="CI21" i="34"/>
  <c r="CN21" i="34"/>
  <c r="CM19" i="13"/>
  <c r="CG19" i="13" s="1"/>
  <c r="CH19" i="13"/>
  <c r="CF19" i="13" s="1"/>
  <c r="CO19" i="34"/>
  <c r="CO47" i="34"/>
  <c r="CJ18" i="13"/>
  <c r="EJ47" i="34" l="1"/>
  <c r="EN47" i="34" s="1"/>
  <c r="CZ48" i="34"/>
  <c r="DE48" i="34" s="1"/>
  <c r="BA39" i="34" s="1"/>
  <c r="EJ49" i="34"/>
  <c r="DA47" i="34"/>
  <c r="DE47" i="34" s="1"/>
  <c r="BA38" i="34" s="1"/>
  <c r="DW47" i="34" s="1"/>
  <c r="ER48" i="34"/>
  <c r="DB48" i="34"/>
  <c r="CT47" i="34"/>
  <c r="CX47" i="34" s="1"/>
  <c r="CS48" i="34"/>
  <c r="CX48" i="34" s="1"/>
  <c r="EP48" i="34"/>
  <c r="EU48" i="34" s="1"/>
  <c r="EI48" i="34"/>
  <c r="EN48" i="34" s="1"/>
  <c r="CU48" i="34"/>
  <c r="AY39" i="34"/>
  <c r="DO49" i="34" s="1"/>
  <c r="CT49" i="34"/>
  <c r="EQ49" i="34"/>
  <c r="ES47" i="13"/>
  <c r="EI20" i="13"/>
  <c r="EN20" i="13" s="1"/>
  <c r="CU18" i="13"/>
  <c r="CS20" i="13"/>
  <c r="CX20" i="13" s="1"/>
  <c r="EC47" i="13"/>
  <c r="EG47" i="13" s="1"/>
  <c r="EB52" i="13" s="1"/>
  <c r="EB48" i="13"/>
  <c r="EG48" i="13" s="1"/>
  <c r="EC52" i="13" s="1"/>
  <c r="ES18" i="13"/>
  <c r="ER18" i="13"/>
  <c r="DA18" i="13"/>
  <c r="DE18" i="13" s="1"/>
  <c r="BA9" i="13" s="1"/>
  <c r="DB18" i="13"/>
  <c r="EP50" i="13"/>
  <c r="EU50" i="13" s="1"/>
  <c r="ES52" i="13" s="1"/>
  <c r="AY41" i="13"/>
  <c r="DJ48" i="13" s="1"/>
  <c r="DH47" i="13"/>
  <c r="DL47" i="13" s="1"/>
  <c r="DI47" i="13"/>
  <c r="CZ20" i="13"/>
  <c r="DE20" i="13" s="1"/>
  <c r="BA11" i="13" s="1"/>
  <c r="ED18" i="13" s="1"/>
  <c r="EK18" i="13"/>
  <c r="DO47" i="13"/>
  <c r="DS47" i="13" s="1"/>
  <c r="BB38" i="13" s="1"/>
  <c r="BH38" i="13" s="1"/>
  <c r="DQ48" i="13"/>
  <c r="DP47" i="13"/>
  <c r="EP20" i="13"/>
  <c r="EU20" i="13" s="1"/>
  <c r="EL18" i="13"/>
  <c r="AK14" i="37"/>
  <c r="AL14" i="37" s="1"/>
  <c r="EJ50" i="13"/>
  <c r="EQ50" i="13"/>
  <c r="DC48" i="13"/>
  <c r="DA50" i="13"/>
  <c r="EL48" i="13"/>
  <c r="DQ47" i="13"/>
  <c r="BH39" i="13"/>
  <c r="AV39" i="13" s="1"/>
  <c r="DC49" i="13"/>
  <c r="DC47" i="13"/>
  <c r="EI50" i="13"/>
  <c r="EN50" i="13" s="1"/>
  <c r="CV49" i="13"/>
  <c r="CZ50" i="13"/>
  <c r="DE50" i="13" s="1"/>
  <c r="BA41" i="13" s="1"/>
  <c r="EC50" i="13" s="1"/>
  <c r="CV47" i="13"/>
  <c r="EK50" i="13"/>
  <c r="ER50" i="13"/>
  <c r="EL49" i="13"/>
  <c r="CT50" i="13"/>
  <c r="CV48" i="13"/>
  <c r="EL47" i="13"/>
  <c r="CS50" i="13"/>
  <c r="CX50" i="13" s="1"/>
  <c r="AY11" i="34"/>
  <c r="CZ20" i="34"/>
  <c r="DE20" i="34" s="1"/>
  <c r="BA11" i="34" s="1"/>
  <c r="CS20" i="34"/>
  <c r="CX20" i="34" s="1"/>
  <c r="EP20" i="34"/>
  <c r="EU20" i="34" s="1"/>
  <c r="EI20" i="34"/>
  <c r="EN20" i="34" s="1"/>
  <c r="CT20" i="34"/>
  <c r="EQ20" i="34"/>
  <c r="DA20" i="34"/>
  <c r="EJ20" i="34"/>
  <c r="CU18" i="34"/>
  <c r="DA18" i="34"/>
  <c r="DE18" i="34" s="1"/>
  <c r="BA9" i="34" s="1"/>
  <c r="EC18" i="34" s="1"/>
  <c r="EG18" i="34" s="1"/>
  <c r="EB23" i="34" s="1"/>
  <c r="CU19" i="34"/>
  <c r="EQ18" i="34"/>
  <c r="EU18" i="34" s="1"/>
  <c r="CZ19" i="34"/>
  <c r="DE19" i="34" s="1"/>
  <c r="BA10" i="34" s="1"/>
  <c r="DV20" i="34" s="1"/>
  <c r="DB19" i="34"/>
  <c r="CT18" i="34"/>
  <c r="CX18" i="34" s="1"/>
  <c r="EJ18" i="34"/>
  <c r="EN18" i="34" s="1"/>
  <c r="EP19" i="34"/>
  <c r="EU19" i="34" s="1"/>
  <c r="EI19" i="34"/>
  <c r="EN19" i="34" s="1"/>
  <c r="CS19" i="34"/>
  <c r="CX19" i="34" s="1"/>
  <c r="ER19" i="34"/>
  <c r="AY10" i="34"/>
  <c r="EK19" i="34"/>
  <c r="ED47" i="34"/>
  <c r="ED48" i="34"/>
  <c r="ER18" i="34"/>
  <c r="DB18" i="34"/>
  <c r="AK19" i="37"/>
  <c r="AL19" i="37" s="1"/>
  <c r="AK12" i="37"/>
  <c r="AL12" i="37" s="1"/>
  <c r="AK18" i="37"/>
  <c r="AL18" i="37" s="1"/>
  <c r="AK17" i="37"/>
  <c r="AL17" i="37" s="1"/>
  <c r="AK6" i="37"/>
  <c r="AL6" i="37" s="1"/>
  <c r="DW47" i="13"/>
  <c r="DC18" i="13"/>
  <c r="AK7" i="37"/>
  <c r="AL7" i="37" s="1"/>
  <c r="AK8" i="37"/>
  <c r="AL8" i="37" s="1"/>
  <c r="AK16" i="37"/>
  <c r="AL16" i="37" s="1"/>
  <c r="CT18" i="13"/>
  <c r="CX18" i="13" s="1"/>
  <c r="CV18" i="13"/>
  <c r="EJ18" i="13"/>
  <c r="EN18" i="13" s="1"/>
  <c r="AK20" i="37"/>
  <c r="AL20" i="37" s="1"/>
  <c r="AK11" i="37"/>
  <c r="AL11" i="37" s="1"/>
  <c r="AK15" i="37"/>
  <c r="AL15" i="37" s="1"/>
  <c r="AK13" i="37"/>
  <c r="AL13" i="37" s="1"/>
  <c r="DI18" i="13"/>
  <c r="BC9" i="13"/>
  <c r="DP18" i="13"/>
  <c r="DW18" i="13"/>
  <c r="AV38" i="13"/>
  <c r="BO38" i="13"/>
  <c r="BK38" i="13"/>
  <c r="DC47" i="34"/>
  <c r="ES49" i="34"/>
  <c r="ER23" i="13"/>
  <c r="BE11" i="13"/>
  <c r="BF11" i="13" s="1"/>
  <c r="FE47" i="13"/>
  <c r="FI47" i="13" s="1"/>
  <c r="FI52" i="13" s="1"/>
  <c r="EX47" i="13"/>
  <c r="FB47" i="13" s="1"/>
  <c r="FB52" i="13" s="1"/>
  <c r="DH47" i="34"/>
  <c r="DL47" i="34" s="1"/>
  <c r="EW48" i="13"/>
  <c r="FB48" i="13" s="1"/>
  <c r="FD48" i="13"/>
  <c r="FI48" i="13" s="1"/>
  <c r="DG49" i="34"/>
  <c r="DL49" i="34" s="1"/>
  <c r="DH49" i="34"/>
  <c r="DN49" i="34"/>
  <c r="DS49" i="34" s="1"/>
  <c r="BB40" i="34" s="1"/>
  <c r="BC40" i="34"/>
  <c r="DG49" i="13"/>
  <c r="DL49" i="13" s="1"/>
  <c r="DH49" i="13"/>
  <c r="DN49" i="13"/>
  <c r="DS49" i="13" s="1"/>
  <c r="BB40" i="13" s="1"/>
  <c r="BC40" i="13"/>
  <c r="EY47" i="13" s="1"/>
  <c r="DO49" i="13"/>
  <c r="DJ49" i="13"/>
  <c r="DQ49" i="13"/>
  <c r="CV47" i="34"/>
  <c r="DU48" i="34"/>
  <c r="DZ48" i="34" s="1"/>
  <c r="EQ52" i="34"/>
  <c r="BE39" i="34"/>
  <c r="BF39" i="34" s="1"/>
  <c r="DV49" i="34"/>
  <c r="EC49" i="34"/>
  <c r="DW48" i="13"/>
  <c r="EC49" i="13"/>
  <c r="EB49" i="13"/>
  <c r="EG49" i="13" s="1"/>
  <c r="ED52" i="13" s="1"/>
  <c r="EK50" i="34"/>
  <c r="EI50" i="34"/>
  <c r="EN50" i="34" s="1"/>
  <c r="CU50" i="34"/>
  <c r="CT50" i="34"/>
  <c r="CZ50" i="34"/>
  <c r="DE50" i="34" s="1"/>
  <c r="BA41" i="34" s="1"/>
  <c r="DV50" i="34" s="1"/>
  <c r="DA50" i="34"/>
  <c r="AY41" i="34"/>
  <c r="DJ49" i="34" s="1"/>
  <c r="DB50" i="34"/>
  <c r="EJ50" i="34"/>
  <c r="CS50" i="34"/>
  <c r="CX50" i="34" s="1"/>
  <c r="EQ50" i="34"/>
  <c r="ER50" i="34"/>
  <c r="EP50" i="34"/>
  <c r="EU50" i="34" s="1"/>
  <c r="ES48" i="34"/>
  <c r="EL48" i="34"/>
  <c r="ER52" i="34"/>
  <c r="BE40" i="34"/>
  <c r="BF40" i="34" s="1"/>
  <c r="ER52" i="13"/>
  <c r="BE40" i="13"/>
  <c r="BF40" i="13" s="1"/>
  <c r="BO39" i="13"/>
  <c r="BE38" i="34"/>
  <c r="BF38" i="34" s="1"/>
  <c r="EP52" i="34"/>
  <c r="ES47" i="34"/>
  <c r="DI48" i="13"/>
  <c r="CV48" i="34"/>
  <c r="DB19" i="13"/>
  <c r="CU19" i="13"/>
  <c r="ES19" i="13"/>
  <c r="EP19" i="13"/>
  <c r="EU19" i="13" s="1"/>
  <c r="EI19" i="13"/>
  <c r="EN19" i="13" s="1"/>
  <c r="CS19" i="13"/>
  <c r="CX19" i="13" s="1"/>
  <c r="DC19" i="13"/>
  <c r="CV19" i="13"/>
  <c r="ER19" i="13"/>
  <c r="AY10" i="13"/>
  <c r="EK19" i="13"/>
  <c r="CZ19" i="13"/>
  <c r="DE19" i="13" s="1"/>
  <c r="BA10" i="13" s="1"/>
  <c r="EL19" i="13"/>
  <c r="EQ20" i="13"/>
  <c r="EJ20" i="13"/>
  <c r="CT20" i="13"/>
  <c r="DA20" i="13"/>
  <c r="EQ18" i="13"/>
  <c r="EU18" i="13" s="1"/>
  <c r="AY12" i="13"/>
  <c r="DQ18" i="13" s="1"/>
  <c r="CZ21" i="13"/>
  <c r="DE21" i="13" s="1"/>
  <c r="BA12" i="13" s="1"/>
  <c r="EE18" i="13" s="1"/>
  <c r="EJ21" i="13"/>
  <c r="DB21" i="13"/>
  <c r="DA21" i="13"/>
  <c r="CS21" i="13"/>
  <c r="CX21" i="13" s="1"/>
  <c r="EQ21" i="13"/>
  <c r="CU21" i="13"/>
  <c r="ER21" i="13"/>
  <c r="EK21" i="13"/>
  <c r="EI21" i="13"/>
  <c r="EN21" i="13" s="1"/>
  <c r="CT21" i="13"/>
  <c r="EP21" i="13"/>
  <c r="EU21" i="13" s="1"/>
  <c r="CV20" i="13"/>
  <c r="EL20" i="13"/>
  <c r="ES20" i="13"/>
  <c r="DC20" i="13"/>
  <c r="DC20" i="34"/>
  <c r="EP21" i="34"/>
  <c r="EU21" i="34" s="1"/>
  <c r="EJ21" i="34"/>
  <c r="CT21" i="34"/>
  <c r="CU21" i="34"/>
  <c r="EQ21" i="34"/>
  <c r="EI21" i="34"/>
  <c r="EN21" i="34" s="1"/>
  <c r="ER21" i="34"/>
  <c r="DA21" i="34"/>
  <c r="ES20" i="34"/>
  <c r="CV20" i="34"/>
  <c r="CS21" i="34"/>
  <c r="CX21" i="34" s="1"/>
  <c r="CZ21" i="34"/>
  <c r="DE21" i="34" s="1"/>
  <c r="BA12" i="34" s="1"/>
  <c r="EK21" i="34"/>
  <c r="AY12" i="34"/>
  <c r="EL20" i="34"/>
  <c r="DB21" i="34"/>
  <c r="DC18" i="34"/>
  <c r="CV18" i="34"/>
  <c r="EL18" i="34"/>
  <c r="ES18" i="34"/>
  <c r="EL19" i="34"/>
  <c r="EE19" i="34"/>
  <c r="ES19" i="34"/>
  <c r="CV19" i="34"/>
  <c r="DC19" i="34"/>
  <c r="EL47" i="34"/>
  <c r="DV47" i="34"/>
  <c r="DZ47" i="34" s="1"/>
  <c r="DP48" i="13"/>
  <c r="DC48" i="34"/>
  <c r="DG48" i="34"/>
  <c r="DL48" i="34" s="1"/>
  <c r="DP48" i="34"/>
  <c r="DI48" i="34"/>
  <c r="BC39" i="34"/>
  <c r="DQ48" i="34"/>
  <c r="DW48" i="34"/>
  <c r="CV49" i="34"/>
  <c r="DC49" i="34"/>
  <c r="ED47" i="13"/>
  <c r="ED48" i="13"/>
  <c r="DU49" i="13"/>
  <c r="DZ49" i="13" s="1"/>
  <c r="DN48" i="34" l="1"/>
  <c r="DS48" i="34" s="1"/>
  <c r="BB39" i="34" s="1"/>
  <c r="DI47" i="34"/>
  <c r="DP47" i="34"/>
  <c r="ED19" i="34"/>
  <c r="ED21" i="34"/>
  <c r="EB48" i="34"/>
  <c r="EG48" i="34" s="1"/>
  <c r="EC52" i="34" s="1"/>
  <c r="BC38" i="34"/>
  <c r="EB49" i="34"/>
  <c r="EG49" i="34" s="1"/>
  <c r="ED52" i="34" s="1"/>
  <c r="EE47" i="34"/>
  <c r="DU49" i="34"/>
  <c r="DZ49" i="34" s="1"/>
  <c r="DO47" i="34"/>
  <c r="DS47" i="34" s="1"/>
  <c r="BB38" i="34" s="1"/>
  <c r="EC47" i="34"/>
  <c r="EG47" i="34" s="1"/>
  <c r="EB52" i="34" s="1"/>
  <c r="ED18" i="34"/>
  <c r="EE20" i="34"/>
  <c r="DW21" i="34"/>
  <c r="EE48" i="34"/>
  <c r="DX19" i="34"/>
  <c r="DX20" i="34"/>
  <c r="DW50" i="34"/>
  <c r="DU50" i="34"/>
  <c r="DZ50" i="34" s="1"/>
  <c r="ED50" i="34"/>
  <c r="DJ48" i="34"/>
  <c r="DX47" i="34"/>
  <c r="DV21" i="34"/>
  <c r="EC50" i="34"/>
  <c r="DU20" i="13"/>
  <c r="DZ20" i="13" s="1"/>
  <c r="DO20" i="13"/>
  <c r="DW50" i="13"/>
  <c r="BC11" i="13"/>
  <c r="FD20" i="13" s="1"/>
  <c r="FI20" i="13" s="1"/>
  <c r="BE41" i="13"/>
  <c r="BF41" i="13" s="1"/>
  <c r="EB20" i="13"/>
  <c r="EG20" i="13" s="1"/>
  <c r="ED23" i="13" s="1"/>
  <c r="DX49" i="13"/>
  <c r="DG20" i="13"/>
  <c r="DL20" i="13" s="1"/>
  <c r="DP50" i="13"/>
  <c r="EE49" i="13"/>
  <c r="EE48" i="13"/>
  <c r="DN20" i="13"/>
  <c r="DS20" i="13" s="1"/>
  <c r="BB11" i="13" s="1"/>
  <c r="BH11" i="13" s="1"/>
  <c r="BK11" i="13" s="1"/>
  <c r="DI50" i="13"/>
  <c r="EB50" i="34"/>
  <c r="EG50" i="34" s="1"/>
  <c r="EE52" i="34" s="1"/>
  <c r="DJ47" i="13"/>
  <c r="DX20" i="13"/>
  <c r="EY48" i="13"/>
  <c r="BK39" i="13"/>
  <c r="EB21" i="13"/>
  <c r="EG21" i="13" s="1"/>
  <c r="EE23" i="13" s="1"/>
  <c r="DX47" i="13"/>
  <c r="ED50" i="13"/>
  <c r="DG50" i="13"/>
  <c r="DL50" i="13" s="1"/>
  <c r="DO50" i="13"/>
  <c r="DV50" i="13"/>
  <c r="DH50" i="13"/>
  <c r="EE47" i="13"/>
  <c r="BC41" i="13"/>
  <c r="FF50" i="13" s="1"/>
  <c r="DN50" i="13"/>
  <c r="DS50" i="13" s="1"/>
  <c r="BB41" i="13" s="1"/>
  <c r="DU50" i="13"/>
  <c r="DZ50" i="13" s="1"/>
  <c r="DX48" i="13"/>
  <c r="EB50" i="13"/>
  <c r="EG50" i="13" s="1"/>
  <c r="EE52" i="13" s="1"/>
  <c r="DW19" i="34"/>
  <c r="DJ47" i="34"/>
  <c r="ER23" i="34"/>
  <c r="BE11" i="34"/>
  <c r="BF11" i="34" s="1"/>
  <c r="DW18" i="34"/>
  <c r="BE9" i="34"/>
  <c r="BF9" i="34" s="1"/>
  <c r="EP23" i="34"/>
  <c r="EC20" i="34"/>
  <c r="DH18" i="34"/>
  <c r="DL18" i="34" s="1"/>
  <c r="DI18" i="34"/>
  <c r="BC9" i="34"/>
  <c r="DP18" i="34"/>
  <c r="DU20" i="34"/>
  <c r="DZ20" i="34" s="1"/>
  <c r="EE18" i="34"/>
  <c r="DU21" i="34"/>
  <c r="DZ21" i="34" s="1"/>
  <c r="EB21" i="34"/>
  <c r="EG21" i="34" s="1"/>
  <c r="EE23" i="34" s="1"/>
  <c r="EE49" i="34"/>
  <c r="BH40" i="34"/>
  <c r="AV40" i="34" s="1"/>
  <c r="DX48" i="34"/>
  <c r="DO18" i="34"/>
  <c r="DS18" i="34" s="1"/>
  <c r="BB9" i="34" s="1"/>
  <c r="EB19" i="34"/>
  <c r="EG19" i="34" s="1"/>
  <c r="EC23" i="34" s="1"/>
  <c r="EB20" i="34"/>
  <c r="EG20" i="34" s="1"/>
  <c r="ED23" i="34" s="1"/>
  <c r="BC11" i="34"/>
  <c r="DG20" i="34"/>
  <c r="DL20" i="34" s="1"/>
  <c r="DN20" i="34"/>
  <c r="DS20" i="34" s="1"/>
  <c r="BB11" i="34" s="1"/>
  <c r="DO20" i="34"/>
  <c r="DH20" i="34"/>
  <c r="DX49" i="34"/>
  <c r="DU19" i="34"/>
  <c r="DZ19" i="34" s="1"/>
  <c r="EQ23" i="34"/>
  <c r="BE10" i="34"/>
  <c r="BF10" i="34" s="1"/>
  <c r="DV18" i="34"/>
  <c r="DZ18" i="34" s="1"/>
  <c r="DN19" i="34"/>
  <c r="DS19" i="34" s="1"/>
  <c r="BB10" i="34" s="1"/>
  <c r="DP19" i="34"/>
  <c r="BC10" i="34"/>
  <c r="DI19" i="34"/>
  <c r="DG19" i="34"/>
  <c r="DL19" i="34" s="1"/>
  <c r="DU21" i="13"/>
  <c r="DZ21" i="13" s="1"/>
  <c r="DW21" i="13"/>
  <c r="DH20" i="13"/>
  <c r="EE20" i="13"/>
  <c r="ED21" i="13"/>
  <c r="DO18" i="13"/>
  <c r="DS18" i="13" s="1"/>
  <c r="BB9" i="13" s="1"/>
  <c r="DJ18" i="13"/>
  <c r="DJ20" i="34"/>
  <c r="DQ20" i="34"/>
  <c r="DJ18" i="34"/>
  <c r="DQ18" i="34"/>
  <c r="DQ19" i="34"/>
  <c r="DJ19" i="34"/>
  <c r="ES23" i="13"/>
  <c r="BE12" i="13"/>
  <c r="BF12" i="13" s="1"/>
  <c r="DG19" i="13"/>
  <c r="DL19" i="13" s="1"/>
  <c r="DI19" i="13"/>
  <c r="BC10" i="13"/>
  <c r="DP19" i="13"/>
  <c r="DN19" i="13"/>
  <c r="DS19" i="13" s="1"/>
  <c r="BB10" i="13" s="1"/>
  <c r="DJ19" i="13"/>
  <c r="DQ19" i="13"/>
  <c r="EQ23" i="13"/>
  <c r="BE10" i="13"/>
  <c r="BF10" i="13" s="1"/>
  <c r="EC18" i="13"/>
  <c r="EG18" i="13" s="1"/>
  <c r="EB23" i="13" s="1"/>
  <c r="EW48" i="34"/>
  <c r="FB48" i="34" s="1"/>
  <c r="FF48" i="34"/>
  <c r="FD48" i="34"/>
  <c r="FI48" i="34" s="1"/>
  <c r="EY48" i="34"/>
  <c r="BE12" i="34"/>
  <c r="BF12" i="34" s="1"/>
  <c r="ES23" i="34"/>
  <c r="EE19" i="13"/>
  <c r="ED19" i="13"/>
  <c r="BP39" i="13"/>
  <c r="BQ39" i="13" s="1"/>
  <c r="BR39" i="13" s="1"/>
  <c r="EW49" i="13"/>
  <c r="FB49" i="13" s="1"/>
  <c r="FG49" i="13"/>
  <c r="FF47" i="13"/>
  <c r="EX49" i="13"/>
  <c r="FD49" i="13"/>
  <c r="FI49" i="13" s="1"/>
  <c r="FE49" i="13"/>
  <c r="FF48" i="13"/>
  <c r="EX47" i="34"/>
  <c r="FB47" i="34" s="1"/>
  <c r="FB52" i="34" s="1"/>
  <c r="EY47" i="34"/>
  <c r="FE47" i="34"/>
  <c r="FI47" i="34" s="1"/>
  <c r="FI52" i="34" s="1"/>
  <c r="FF47" i="34"/>
  <c r="BH39" i="34"/>
  <c r="BC12" i="34"/>
  <c r="DG21" i="34"/>
  <c r="DL21" i="34" s="1"/>
  <c r="DP21" i="34"/>
  <c r="DN21" i="34"/>
  <c r="DS21" i="34" s="1"/>
  <c r="BB12" i="34" s="1"/>
  <c r="DI21" i="34"/>
  <c r="DO21" i="34"/>
  <c r="DH21" i="34"/>
  <c r="DH21" i="13"/>
  <c r="DP21" i="13"/>
  <c r="DN21" i="13"/>
  <c r="DS21" i="13" s="1"/>
  <c r="BB12" i="13" s="1"/>
  <c r="DI21" i="13"/>
  <c r="DG21" i="13"/>
  <c r="DL21" i="13" s="1"/>
  <c r="DO21" i="13"/>
  <c r="BC12" i="13"/>
  <c r="BH38" i="34"/>
  <c r="EX49" i="34"/>
  <c r="EW49" i="34"/>
  <c r="FB49" i="34" s="1"/>
  <c r="FD49" i="34"/>
  <c r="FI49" i="34" s="1"/>
  <c r="FE49" i="34"/>
  <c r="DQ49" i="34"/>
  <c r="AM41" i="13"/>
  <c r="AO41" i="13" s="1"/>
  <c r="AM39" i="13"/>
  <c r="AO39" i="13" s="1"/>
  <c r="AM38" i="13"/>
  <c r="AO38" i="13" s="1"/>
  <c r="AM40" i="13"/>
  <c r="AO40" i="13" s="1"/>
  <c r="DX18" i="13"/>
  <c r="BE9" i="13"/>
  <c r="EP23" i="13"/>
  <c r="EB19" i="13"/>
  <c r="EG19" i="13" s="1"/>
  <c r="EC23" i="13" s="1"/>
  <c r="DW19" i="13"/>
  <c r="DX18" i="34"/>
  <c r="EC21" i="34"/>
  <c r="DV21" i="13"/>
  <c r="EC21" i="13"/>
  <c r="EC20" i="13"/>
  <c r="DV20" i="13"/>
  <c r="DX19" i="13"/>
  <c r="DU19" i="13"/>
  <c r="DZ19" i="13" s="1"/>
  <c r="BH40" i="13"/>
  <c r="ES52" i="34"/>
  <c r="BE41" i="34"/>
  <c r="BF41" i="34" s="1"/>
  <c r="DN50" i="34"/>
  <c r="DS50" i="34" s="1"/>
  <c r="BB41" i="34" s="1"/>
  <c r="DP50" i="34"/>
  <c r="DG50" i="34"/>
  <c r="DL50" i="34" s="1"/>
  <c r="DH50" i="34"/>
  <c r="DI50" i="34"/>
  <c r="DO50" i="34"/>
  <c r="BC41" i="34"/>
  <c r="EZ48" i="34" s="1"/>
  <c r="DQ47" i="34"/>
  <c r="DJ20" i="13"/>
  <c r="DQ20" i="13"/>
  <c r="BP38" i="13"/>
  <c r="BQ38" i="13" s="1"/>
  <c r="BR38" i="13" s="1"/>
  <c r="DV18" i="13"/>
  <c r="DZ18" i="13" s="1"/>
  <c r="FF18" i="13"/>
  <c r="FE18" i="13"/>
  <c r="FI18" i="13" s="1"/>
  <c r="FI23" i="13" s="1"/>
  <c r="DH18" i="13"/>
  <c r="DL18" i="13" s="1"/>
  <c r="BK40" i="34" l="1"/>
  <c r="BH10" i="34"/>
  <c r="AV10" i="34" s="1"/>
  <c r="BH11" i="34"/>
  <c r="EY18" i="13"/>
  <c r="FE20" i="13"/>
  <c r="EW20" i="13"/>
  <c r="FB20" i="13" s="1"/>
  <c r="EZ20" i="13"/>
  <c r="BH12" i="13"/>
  <c r="EZ18" i="13"/>
  <c r="EY50" i="13"/>
  <c r="EZ49" i="13"/>
  <c r="BH41" i="13"/>
  <c r="EZ47" i="13"/>
  <c r="EZ48" i="13"/>
  <c r="EW50" i="13"/>
  <c r="FB50" i="13" s="1"/>
  <c r="FE50" i="13"/>
  <c r="FG47" i="13"/>
  <c r="FG48" i="13"/>
  <c r="FD50" i="13"/>
  <c r="FI50" i="13" s="1"/>
  <c r="EX50" i="13"/>
  <c r="BH41" i="34"/>
  <c r="BO41" i="34" s="1"/>
  <c r="BH9" i="34"/>
  <c r="BO9" i="34" s="1"/>
  <c r="BP9" i="34" s="1"/>
  <c r="BQ9" i="34" s="1"/>
  <c r="BR9" i="34" s="1"/>
  <c r="BO40" i="34"/>
  <c r="BP40" i="34" s="1"/>
  <c r="BQ40" i="34" s="1"/>
  <c r="BR40" i="34" s="1"/>
  <c r="BK10" i="34"/>
  <c r="BO10" i="34"/>
  <c r="BK9" i="34"/>
  <c r="AM10" i="34" s="1"/>
  <c r="AO10" i="34" s="1"/>
  <c r="AV11" i="34"/>
  <c r="BK11" i="34"/>
  <c r="BH12" i="34"/>
  <c r="BO12" i="34" s="1"/>
  <c r="EY19" i="34"/>
  <c r="FF19" i="34"/>
  <c r="EW19" i="34"/>
  <c r="FB19" i="34" s="1"/>
  <c r="FD19" i="34"/>
  <c r="FI19" i="34" s="1"/>
  <c r="EY18" i="34"/>
  <c r="FF18" i="34"/>
  <c r="EX18" i="34"/>
  <c r="FB18" i="34" s="1"/>
  <c r="FB23" i="34" s="1"/>
  <c r="FE18" i="34"/>
  <c r="FI18" i="34" s="1"/>
  <c r="FI23" i="34" s="1"/>
  <c r="BO11" i="34"/>
  <c r="BP11" i="34" s="1"/>
  <c r="BQ11" i="34" s="1"/>
  <c r="BR11" i="34" s="1"/>
  <c r="FD20" i="34"/>
  <c r="FI20" i="34" s="1"/>
  <c r="EW20" i="34"/>
  <c r="FB20" i="34" s="1"/>
  <c r="FE20" i="34"/>
  <c r="EX20" i="34"/>
  <c r="AV11" i="13"/>
  <c r="BH10" i="13"/>
  <c r="AV10" i="13" s="1"/>
  <c r="AV12" i="34"/>
  <c r="AV40" i="13"/>
  <c r="BO40" i="13"/>
  <c r="BK40" i="13"/>
  <c r="EZ19" i="13"/>
  <c r="EY19" i="13"/>
  <c r="FG19" i="13"/>
  <c r="FF19" i="13"/>
  <c r="FD19" i="13"/>
  <c r="FI19" i="13" s="1"/>
  <c r="EX20" i="13"/>
  <c r="EW19" i="13"/>
  <c r="FB19" i="13" s="1"/>
  <c r="BK12" i="13"/>
  <c r="AV12" i="13"/>
  <c r="AM11" i="34"/>
  <c r="AO11" i="34" s="1"/>
  <c r="FD21" i="13"/>
  <c r="FI21" i="13" s="1"/>
  <c r="FE21" i="13"/>
  <c r="FF21" i="13"/>
  <c r="EX21" i="13"/>
  <c r="EW21" i="13"/>
  <c r="FB21" i="13" s="1"/>
  <c r="EY21" i="13"/>
  <c r="FG20" i="13"/>
  <c r="BF9" i="13"/>
  <c r="BH9" i="13" s="1"/>
  <c r="BK38" i="34"/>
  <c r="AV38" i="34"/>
  <c r="BO38" i="34"/>
  <c r="EX21" i="34"/>
  <c r="EW21" i="34"/>
  <c r="FB21" i="34" s="1"/>
  <c r="FG20" i="34"/>
  <c r="EZ18" i="34"/>
  <c r="EZ19" i="34"/>
  <c r="FF21" i="34"/>
  <c r="EZ20" i="34"/>
  <c r="FG19" i="34"/>
  <c r="EY21" i="34"/>
  <c r="FD21" i="34"/>
  <c r="FI21" i="34" s="1"/>
  <c r="FE21" i="34"/>
  <c r="FG18" i="34"/>
  <c r="EX18" i="13"/>
  <c r="FB18" i="13" s="1"/>
  <c r="FB23" i="13" s="1"/>
  <c r="FG18" i="13"/>
  <c r="FG49" i="34"/>
  <c r="EY50" i="34"/>
  <c r="FD50" i="34"/>
  <c r="FI50" i="34" s="1"/>
  <c r="EZ49" i="34"/>
  <c r="FG47" i="34"/>
  <c r="EW50" i="34"/>
  <c r="FB50" i="34" s="1"/>
  <c r="FE50" i="34"/>
  <c r="EX50" i="34"/>
  <c r="EZ47" i="34"/>
  <c r="FF50" i="34"/>
  <c r="FG48" i="34"/>
  <c r="BK39" i="34"/>
  <c r="AV39" i="34"/>
  <c r="BO39" i="34"/>
  <c r="BK10" i="13" l="1"/>
  <c r="BK12" i="34"/>
  <c r="AM12" i="34"/>
  <c r="AO12" i="34" s="1"/>
  <c r="AV9" i="34"/>
  <c r="BK41" i="13"/>
  <c r="BO41" i="13"/>
  <c r="BP41" i="13" s="1"/>
  <c r="BQ41" i="13" s="1"/>
  <c r="BR41" i="13" s="1"/>
  <c r="AV41" i="13"/>
  <c r="BK41" i="34"/>
  <c r="AM9" i="34"/>
  <c r="AO9" i="34" s="1"/>
  <c r="AV41" i="34"/>
  <c r="BP10" i="34"/>
  <c r="BQ10" i="34" s="1"/>
  <c r="BR10" i="34" s="1"/>
  <c r="BK9" i="13"/>
  <c r="AV9" i="13"/>
  <c r="BO9" i="13"/>
  <c r="BO11" i="13"/>
  <c r="BP40" i="13"/>
  <c r="BQ40" i="13" s="1"/>
  <c r="BR40" i="13" s="1"/>
  <c r="BP38" i="34"/>
  <c r="BQ38" i="34" s="1"/>
  <c r="BR38" i="34" s="1"/>
  <c r="BO10" i="13"/>
  <c r="BP12" i="34"/>
  <c r="BQ12" i="34" s="1"/>
  <c r="BR12" i="34" s="1"/>
  <c r="BP41" i="34"/>
  <c r="BQ41" i="34" s="1"/>
  <c r="BR41" i="34" s="1"/>
  <c r="BP39" i="34"/>
  <c r="BQ39" i="34" s="1"/>
  <c r="BR39" i="34" s="1"/>
  <c r="AM39" i="34"/>
  <c r="AO39" i="34" s="1"/>
  <c r="AM40" i="34"/>
  <c r="AO40" i="34" s="1"/>
  <c r="AM38" i="34"/>
  <c r="AO38" i="34" s="1"/>
  <c r="AM41" i="34"/>
  <c r="AO41" i="34" s="1"/>
  <c r="BO12" i="13"/>
  <c r="BP12" i="13" l="1"/>
  <c r="BQ12" i="13" s="1"/>
  <c r="BR12" i="13" s="1"/>
  <c r="BP9" i="13"/>
  <c r="BQ9" i="13" s="1"/>
  <c r="BR9" i="13" s="1"/>
  <c r="BP11" i="13"/>
  <c r="BQ11" i="13" s="1"/>
  <c r="BR11" i="13" s="1"/>
  <c r="BP10" i="13"/>
  <c r="BQ10" i="13" s="1"/>
  <c r="BR10" i="13" s="1"/>
  <c r="AM11" i="13"/>
  <c r="AO11" i="13" s="1"/>
  <c r="AM9" i="13"/>
  <c r="AO9" i="13" s="1"/>
  <c r="AM10" i="13"/>
  <c r="AO10" i="13" s="1"/>
  <c r="AM12" i="13"/>
  <c r="AO12" i="13" s="1"/>
</calcChain>
</file>

<file path=xl/sharedStrings.xml><?xml version="1.0" encoding="utf-8"?>
<sst xmlns="http://schemas.openxmlformats.org/spreadsheetml/2006/main" count="2009" uniqueCount="277">
  <si>
    <t>FEDERATION FRANCAISE</t>
  </si>
  <si>
    <t>DE TENNIS DE TABLE</t>
  </si>
  <si>
    <t>POULE :</t>
  </si>
  <si>
    <t>OK</t>
  </si>
  <si>
    <t>Classement</t>
  </si>
  <si>
    <t xml:space="preserve"> </t>
  </si>
  <si>
    <t>LIEU :</t>
  </si>
  <si>
    <t>DATE :</t>
  </si>
  <si>
    <t>Dossard</t>
  </si>
  <si>
    <t>contre</t>
  </si>
  <si>
    <t>VICTOIRES</t>
  </si>
  <si>
    <t>Catégorie :</t>
  </si>
  <si>
    <t>ASSOCIATION</t>
  </si>
  <si>
    <t>-</t>
  </si>
  <si>
    <t>Dos.</t>
  </si>
  <si>
    <t>NOM et Prénom</t>
  </si>
  <si>
    <t>N° Licence</t>
  </si>
  <si>
    <t>TOTAL des VICTOIRES</t>
  </si>
  <si>
    <t xml:space="preserve">CLASSEMENT DE 1 A 4 </t>
  </si>
  <si>
    <t>MANCHES</t>
  </si>
  <si>
    <t>NOM  et PRENOM</t>
  </si>
  <si>
    <t>Sa</t>
  </si>
  <si>
    <t>IG1</t>
  </si>
  <si>
    <t>CLASSEMENT POULE</t>
  </si>
  <si>
    <t>QUOTIENTS</t>
  </si>
  <si>
    <t>PART</t>
  </si>
  <si>
    <t>P2</t>
  </si>
  <si>
    <t xml:space="preserve"> SETS</t>
  </si>
  <si>
    <t>P3</t>
  </si>
  <si>
    <t>S2</t>
  </si>
  <si>
    <t xml:space="preserve"> PTS</t>
  </si>
  <si>
    <t>CORRIGEES</t>
  </si>
  <si>
    <t>PLACES</t>
  </si>
  <si>
    <t>A</t>
  </si>
  <si>
    <t>1er</t>
  </si>
  <si>
    <t>B</t>
  </si>
  <si>
    <t>C</t>
  </si>
  <si>
    <t>POULE</t>
  </si>
  <si>
    <t>POINTS VICTOIRE</t>
  </si>
  <si>
    <t>PERDUES A</t>
  </si>
  <si>
    <t>TOTAL</t>
  </si>
  <si>
    <t>PARTIES GAGNEES</t>
  </si>
  <si>
    <t>PARTIES PERDUES</t>
  </si>
  <si>
    <t>MANCHES  GAGNEES</t>
  </si>
  <si>
    <t>MANCHES  PERDUES</t>
  </si>
  <si>
    <t>POINTS GAGNES</t>
  </si>
  <si>
    <t>POINTS PERDUS</t>
  </si>
  <si>
    <t>PARTIES</t>
  </si>
  <si>
    <t>VAINQUEUR</t>
  </si>
  <si>
    <t xml:space="preserve">  +</t>
  </si>
  <si>
    <t xml:space="preserve">  -</t>
  </si>
  <si>
    <t>somme</t>
  </si>
  <si>
    <t xml:space="preserve">  PARTIES</t>
  </si>
  <si>
    <t>XXX</t>
  </si>
  <si>
    <t>PARTIES GAGNEES ex aequo</t>
  </si>
  <si>
    <t>PARTIES PERDUES ex aequo</t>
  </si>
  <si>
    <t>MANCHES  GAGNEES ex aequo</t>
  </si>
  <si>
    <t>MANCHES  PERDUES ex aequo</t>
  </si>
  <si>
    <t>COIPOSITION    POULE</t>
  </si>
  <si>
    <t>2ème</t>
  </si>
  <si>
    <t>3ème</t>
  </si>
  <si>
    <t>D</t>
  </si>
  <si>
    <t>4ème</t>
  </si>
  <si>
    <t>Manche1</t>
  </si>
  <si>
    <t>Manche2</t>
  </si>
  <si>
    <t>Manche3</t>
  </si>
  <si>
    <t>Manche4</t>
  </si>
  <si>
    <t>Manche5</t>
  </si>
  <si>
    <t>MANCHES GAGNEES A</t>
  </si>
  <si>
    <t>joueur A</t>
  </si>
  <si>
    <t xml:space="preserve">  </t>
  </si>
  <si>
    <t>TOTAL VICTOIRES</t>
  </si>
  <si>
    <t>J</t>
  </si>
  <si>
    <t>CLUB</t>
  </si>
  <si>
    <t>Cla.</t>
  </si>
  <si>
    <t>Cat.</t>
  </si>
  <si>
    <t>Licence Informatique</t>
  </si>
  <si>
    <t>Vu le Juge Arbitre :</t>
  </si>
  <si>
    <t>Heure :</t>
  </si>
  <si>
    <t>Tableau:</t>
  </si>
  <si>
    <t xml:space="preserve">Arbitre : </t>
  </si>
  <si>
    <t>PARTIE</t>
  </si>
  <si>
    <t>J+R 1</t>
  </si>
  <si>
    <t>J+R 2</t>
  </si>
  <si>
    <t>Sitôt la partie terminée ; rapporter cette fiche à la table du Juge Arbitre;</t>
  </si>
  <si>
    <t>CARTONS</t>
  </si>
  <si>
    <t>Signature de l' Arbitre :</t>
  </si>
  <si>
    <t>Premier service : GAUCHE - DROITE</t>
  </si>
  <si>
    <t>Classement des poules</t>
  </si>
  <si>
    <t>Poules</t>
  </si>
  <si>
    <t>Barrages 2ème/3ème</t>
  </si>
  <si>
    <t>1/4 Finale</t>
  </si>
  <si>
    <t>1/2 Finale</t>
  </si>
  <si>
    <t>Finale</t>
  </si>
  <si>
    <t>K</t>
  </si>
  <si>
    <t>I</t>
  </si>
  <si>
    <t>L</t>
  </si>
  <si>
    <t>M</t>
  </si>
  <si>
    <t>E</t>
  </si>
  <si>
    <t>N</t>
  </si>
  <si>
    <t>F</t>
  </si>
  <si>
    <t>..</t>
  </si>
  <si>
    <t>Perdant I</t>
  </si>
  <si>
    <t>Perdant A</t>
  </si>
  <si>
    <t>Perdant J</t>
  </si>
  <si>
    <t>Perdant B</t>
  </si>
  <si>
    <t>Perdant K</t>
  </si>
  <si>
    <t>Perdant C</t>
  </si>
  <si>
    <t>O</t>
  </si>
  <si>
    <t>G</t>
  </si>
  <si>
    <t>Perdant L</t>
  </si>
  <si>
    <t>Perdant D</t>
  </si>
  <si>
    <t>Perdant M</t>
  </si>
  <si>
    <t>Perdant E</t>
  </si>
  <si>
    <t>P</t>
  </si>
  <si>
    <t>H</t>
  </si>
  <si>
    <t>Perdant N</t>
  </si>
  <si>
    <t>Perdant F</t>
  </si>
  <si>
    <t>Perdant O</t>
  </si>
  <si>
    <t>Perdant G</t>
  </si>
  <si>
    <t>Perdant P</t>
  </si>
  <si>
    <t>Perdant H</t>
  </si>
  <si>
    <t>Tirage fait</t>
  </si>
  <si>
    <t>N° Association</t>
  </si>
  <si>
    <t>Places 13 à 16</t>
  </si>
  <si>
    <t>Places 11 et 12</t>
  </si>
  <si>
    <t>Places 13 et 14</t>
  </si>
  <si>
    <t>Places 15 et 16</t>
  </si>
  <si>
    <t>Places 3 et 4</t>
  </si>
  <si>
    <t>Places 5 à 8</t>
  </si>
  <si>
    <t>Places 5 et 6</t>
  </si>
  <si>
    <t>Places 7 et 8</t>
  </si>
  <si>
    <t>Lieu :</t>
  </si>
  <si>
    <t>Date :</t>
  </si>
  <si>
    <t>N°</t>
  </si>
  <si>
    <t>N° de Licence</t>
  </si>
  <si>
    <t>Nom et Prénom</t>
  </si>
  <si>
    <t>Catégorie</t>
  </si>
  <si>
    <t>Association</t>
  </si>
  <si>
    <t>Points Obtenus</t>
  </si>
  <si>
    <t>SAISON</t>
  </si>
  <si>
    <t>Poule 1</t>
  </si>
  <si>
    <t>Table</t>
  </si>
  <si>
    <t>Poule 2</t>
  </si>
  <si>
    <t>Poule 3</t>
  </si>
  <si>
    <t>Poule 4</t>
  </si>
  <si>
    <t xml:space="preserve">Poule </t>
  </si>
  <si>
    <t>Tableau</t>
  </si>
  <si>
    <t>Heure début</t>
  </si>
  <si>
    <t>9 - 8</t>
  </si>
  <si>
    <t>5 - 12</t>
  </si>
  <si>
    <t>11 - 6</t>
  </si>
  <si>
    <t>7 - 10</t>
  </si>
  <si>
    <t>Barrage 2/3</t>
  </si>
  <si>
    <t>Heure</t>
  </si>
  <si>
    <t>Tour</t>
  </si>
  <si>
    <t>Places 9 à 16</t>
  </si>
  <si>
    <t>Places 9 à 12</t>
  </si>
  <si>
    <t>Places 9 et 10</t>
  </si>
  <si>
    <t>places 9 &amp; 10</t>
  </si>
  <si>
    <t>places 11 &amp; 12</t>
  </si>
  <si>
    <t>places 13 &amp; 14</t>
  </si>
  <si>
    <t>places 15 &amp; 16</t>
  </si>
  <si>
    <t>FINALE</t>
  </si>
  <si>
    <t>places 3/4</t>
  </si>
  <si>
    <t>places 5/6</t>
  </si>
  <si>
    <t>places 7/8</t>
  </si>
  <si>
    <t>Di</t>
  </si>
  <si>
    <t>Barrages 2è/3è</t>
  </si>
  <si>
    <t>1/4 F - KO</t>
  </si>
  <si>
    <t>1/4 Finale KO</t>
  </si>
  <si>
    <t xml:space="preserve">1/4 Finale </t>
  </si>
  <si>
    <t>1/2 Finale KO</t>
  </si>
  <si>
    <t>Finale KO</t>
  </si>
  <si>
    <t>Points</t>
  </si>
  <si>
    <t>Remise à 0 des poules:</t>
  </si>
  <si>
    <t>Remise à 0 du Tableau</t>
  </si>
  <si>
    <t xml:space="preserve">Remplir à gauche les caractéristiques </t>
  </si>
  <si>
    <t>de la compétition dans les cases</t>
  </si>
  <si>
    <t xml:space="preserve">Modifier les poules si besoin en inversant </t>
  </si>
  <si>
    <t>les numéros de dossard dans les poules</t>
  </si>
  <si>
    <t>l'impression des fiches de parties</t>
  </si>
  <si>
    <t>quand celui est fait ce qui provoque:</t>
  </si>
  <si>
    <t>Tapez "O" dans la case Tirage au sort fait</t>
  </si>
  <si>
    <t>Remplir la liste des inscrits</t>
  </si>
  <si>
    <t xml:space="preserve">     a) mise en place automatique des joueurs</t>
  </si>
  <si>
    <t xml:space="preserve">     b) apparition des numéros de table.</t>
  </si>
  <si>
    <t>Juge arbitre</t>
  </si>
  <si>
    <t>TABLE :</t>
  </si>
  <si>
    <t>Servez vous des boutons macros pour</t>
  </si>
  <si>
    <t>SAISON :</t>
  </si>
  <si>
    <t>Jour :</t>
  </si>
  <si>
    <t>Tour :</t>
  </si>
  <si>
    <t>Couleur :</t>
  </si>
  <si>
    <t>POINTS</t>
  </si>
  <si>
    <t>points</t>
  </si>
  <si>
    <t>Pts</t>
  </si>
  <si>
    <t/>
  </si>
  <si>
    <t>LE MANS ASGM</t>
  </si>
  <si>
    <t>J2</t>
  </si>
  <si>
    <t>J1</t>
  </si>
  <si>
    <t>J3</t>
  </si>
  <si>
    <t>SAINTE JAMME TT</t>
  </si>
  <si>
    <t>DUBOIS-MARECHAL Julien</t>
  </si>
  <si>
    <t>LEROUX Corentin</t>
  </si>
  <si>
    <t>MEZIERES S PONTHOUIN AS</t>
  </si>
  <si>
    <t>DUGAST Nicolas</t>
  </si>
  <si>
    <t>SPAY CP</t>
  </si>
  <si>
    <t>MORINEAU Jérémy</t>
  </si>
  <si>
    <t>GIEN Kévin</t>
  </si>
  <si>
    <t>LE MANS ASPTT</t>
  </si>
  <si>
    <t>T,3</t>
  </si>
  <si>
    <t>LE MANS A.S.L</t>
  </si>
  <si>
    <t>DAVID Nathan</t>
  </si>
  <si>
    <t>ARNAGE US</t>
  </si>
  <si>
    <t>METIVIER Willy</t>
  </si>
  <si>
    <t>PAPIN Manuel</t>
  </si>
  <si>
    <t>SIMONIN Adrien</t>
  </si>
  <si>
    <t>SOUVIGNE AS</t>
  </si>
  <si>
    <t>DAVID Corentin</t>
  </si>
  <si>
    <t>AUBOUT Paul</t>
  </si>
  <si>
    <t>LEMANE Téo</t>
  </si>
  <si>
    <t>FERCE US</t>
  </si>
  <si>
    <t>BOULANGE Maël</t>
  </si>
  <si>
    <t>LAIGNE ST GERVAIS CO</t>
  </si>
  <si>
    <t>BIDARD Byron</t>
  </si>
  <si>
    <t>PARCE TT</t>
  </si>
  <si>
    <t>BIGEARD Valentin</t>
  </si>
  <si>
    <t>GUENEAU Florian</t>
  </si>
  <si>
    <t>MULSANNE PPC</t>
  </si>
  <si>
    <r>
      <t>1</t>
    </r>
    <r>
      <rPr>
        <b/>
        <vertAlign val="superscript"/>
        <sz val="14"/>
        <rFont val="Calibri"/>
        <family val="2"/>
      </rPr>
      <t>er</t>
    </r>
  </si>
  <si>
    <t>Le Juge-Arbitre :</t>
  </si>
  <si>
    <r>
      <t>2</t>
    </r>
    <r>
      <rPr>
        <b/>
        <vertAlign val="superscript"/>
        <sz val="14"/>
        <rFont val="Calibri"/>
        <family val="2"/>
      </rPr>
      <t>ème</t>
    </r>
  </si>
  <si>
    <r>
      <t>3</t>
    </r>
    <r>
      <rPr>
        <b/>
        <vertAlign val="superscript"/>
        <sz val="14"/>
        <rFont val="Calibri"/>
        <family val="2"/>
      </rPr>
      <t>ème</t>
    </r>
  </si>
  <si>
    <r>
      <t>4</t>
    </r>
    <r>
      <rPr>
        <b/>
        <vertAlign val="superscript"/>
        <sz val="14"/>
        <rFont val="Calibri"/>
        <family val="2"/>
      </rPr>
      <t>ème</t>
    </r>
  </si>
  <si>
    <t>Compétition</t>
  </si>
  <si>
    <t>Date</t>
  </si>
  <si>
    <t>Lieu</t>
  </si>
  <si>
    <r>
      <t>9</t>
    </r>
    <r>
      <rPr>
        <vertAlign val="superscript"/>
        <sz val="12"/>
        <rFont val="Calibri"/>
        <family val="2"/>
        <scheme val="minor"/>
      </rPr>
      <t>ème</t>
    </r>
  </si>
  <si>
    <r>
      <t>1</t>
    </r>
    <r>
      <rPr>
        <vertAlign val="superscript"/>
        <sz val="14"/>
        <rFont val="Calibri"/>
        <family val="2"/>
        <scheme val="minor"/>
      </rPr>
      <t>er</t>
    </r>
  </si>
  <si>
    <r>
      <t>10</t>
    </r>
    <r>
      <rPr>
        <vertAlign val="superscript"/>
        <sz val="12"/>
        <rFont val="Calibri"/>
        <family val="2"/>
        <scheme val="minor"/>
      </rPr>
      <t>ème</t>
    </r>
  </si>
  <si>
    <r>
      <t>2</t>
    </r>
    <r>
      <rPr>
        <vertAlign val="superscript"/>
        <sz val="12"/>
        <rFont val="Calibri"/>
        <family val="2"/>
        <scheme val="minor"/>
      </rPr>
      <t>ème</t>
    </r>
  </si>
  <si>
    <r>
      <t>11</t>
    </r>
    <r>
      <rPr>
        <vertAlign val="superscript"/>
        <sz val="12"/>
        <rFont val="Calibri"/>
        <family val="2"/>
        <scheme val="minor"/>
      </rPr>
      <t>ème</t>
    </r>
  </si>
  <si>
    <r>
      <t>3</t>
    </r>
    <r>
      <rPr>
        <vertAlign val="superscript"/>
        <sz val="12"/>
        <rFont val="Calibri"/>
        <family val="2"/>
        <scheme val="minor"/>
      </rPr>
      <t>ème</t>
    </r>
  </si>
  <si>
    <r>
      <t>12</t>
    </r>
    <r>
      <rPr>
        <vertAlign val="superscript"/>
        <sz val="12"/>
        <rFont val="Calibri"/>
        <family val="2"/>
        <scheme val="minor"/>
      </rPr>
      <t>ème</t>
    </r>
  </si>
  <si>
    <r>
      <t>4</t>
    </r>
    <r>
      <rPr>
        <vertAlign val="superscript"/>
        <sz val="12"/>
        <rFont val="Calibri"/>
        <family val="2"/>
        <scheme val="minor"/>
      </rPr>
      <t>ème</t>
    </r>
  </si>
  <si>
    <r>
      <t>13</t>
    </r>
    <r>
      <rPr>
        <vertAlign val="superscript"/>
        <sz val="12"/>
        <rFont val="Calibri"/>
        <family val="2"/>
        <scheme val="minor"/>
      </rPr>
      <t>ème</t>
    </r>
  </si>
  <si>
    <r>
      <t>5</t>
    </r>
    <r>
      <rPr>
        <vertAlign val="superscript"/>
        <sz val="12"/>
        <rFont val="Calibri"/>
        <family val="2"/>
        <scheme val="minor"/>
      </rPr>
      <t>ème</t>
    </r>
  </si>
  <si>
    <r>
      <t>14</t>
    </r>
    <r>
      <rPr>
        <vertAlign val="superscript"/>
        <sz val="12"/>
        <rFont val="Calibri"/>
        <family val="2"/>
        <scheme val="minor"/>
      </rPr>
      <t>ème</t>
    </r>
  </si>
  <si>
    <r>
      <t>6</t>
    </r>
    <r>
      <rPr>
        <vertAlign val="superscript"/>
        <sz val="12"/>
        <rFont val="Calibri"/>
        <family val="2"/>
        <scheme val="minor"/>
      </rPr>
      <t>ème</t>
    </r>
  </si>
  <si>
    <r>
      <t>15</t>
    </r>
    <r>
      <rPr>
        <vertAlign val="superscript"/>
        <sz val="12"/>
        <rFont val="Calibri"/>
        <family val="2"/>
        <scheme val="minor"/>
      </rPr>
      <t>ème</t>
    </r>
  </si>
  <si>
    <r>
      <t>7</t>
    </r>
    <r>
      <rPr>
        <vertAlign val="superscript"/>
        <sz val="12"/>
        <rFont val="Calibri"/>
        <family val="2"/>
        <scheme val="minor"/>
      </rPr>
      <t>ème</t>
    </r>
  </si>
  <si>
    <r>
      <t>16</t>
    </r>
    <r>
      <rPr>
        <vertAlign val="superscript"/>
        <sz val="12"/>
        <rFont val="Calibri"/>
        <family val="2"/>
        <scheme val="minor"/>
      </rPr>
      <t>ème</t>
    </r>
  </si>
  <si>
    <r>
      <t>8</t>
    </r>
    <r>
      <rPr>
        <vertAlign val="superscript"/>
        <sz val="12"/>
        <rFont val="Calibri"/>
        <family val="2"/>
        <scheme val="minor"/>
      </rPr>
      <t>ème</t>
    </r>
  </si>
  <si>
    <t>Circuit Décathlon</t>
  </si>
  <si>
    <t>2018-2019</t>
  </si>
  <si>
    <t>Parigné l'évêque</t>
  </si>
  <si>
    <t>ANILLE BRAYE ABTT</t>
  </si>
  <si>
    <t>LA FLECHE USF TT</t>
  </si>
  <si>
    <t>PARIGNE L'EVEQUE TTC</t>
  </si>
  <si>
    <t>MONTFORT TT</t>
  </si>
  <si>
    <t>GAUTIER Clemence</t>
  </si>
  <si>
    <t>TARROUX Lucie</t>
  </si>
  <si>
    <t>LEBRETON Marine</t>
  </si>
  <si>
    <t>LE DANTEC Enola</t>
  </si>
  <si>
    <t>LE BOEUF Léanne</t>
  </si>
  <si>
    <t>CHAUSSEE Léna</t>
  </si>
  <si>
    <t>SAUSSEREAU Rose</t>
  </si>
  <si>
    <t>NEMETH Aryana</t>
  </si>
  <si>
    <t>MONIER Perrine</t>
  </si>
  <si>
    <t>HEROUF Elise</t>
  </si>
  <si>
    <t>MENAGER Chloe</t>
  </si>
  <si>
    <t>LE GRAND LUCE USTT</t>
  </si>
  <si>
    <t>CHAMPAGNE ESP</t>
  </si>
  <si>
    <t>BONNETABLE P</t>
  </si>
  <si>
    <t>MAMERS CS</t>
  </si>
  <si>
    <t>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</si>
</sst>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000000000000_)"/>
    <numFmt numFmtId="165" formatCode="000"/>
    <numFmt numFmtId="166" formatCode="00"/>
    <numFmt numFmtId="167" formatCode="0,000,000"/>
    <numFmt numFmtId="168" formatCode="d\ mmmm\ yyyy"/>
    <numFmt numFmtId="169" formatCode="0.0000"/>
    <numFmt numFmtId="170" formatCode="00,000,000"/>
    <numFmt numFmtId="171" formatCode="[$-F800]dddd\,\ mmmm\ dd\,\ yyyy"/>
  </numFmts>
  <fonts count="78" x14ac:knownFonts="1">
    <font>
      <sz val="10"/>
      <name val="MS Sans Serif"/>
    </font>
    <font>
      <sz val="10"/>
      <name val="MS Sans Serif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i/>
      <u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4"/>
      <color indexed="12"/>
      <name val="Times New Roman"/>
      <family val="1"/>
    </font>
    <font>
      <b/>
      <sz val="8"/>
      <color indexed="10"/>
      <name val="Times New Roman"/>
      <family val="1"/>
    </font>
    <font>
      <sz val="10"/>
      <color indexed="8"/>
      <name val="MS Sans Serif"/>
      <family val="2"/>
    </font>
    <font>
      <sz val="8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vertAlign val="superscript"/>
      <sz val="14"/>
      <name val="Calibri"/>
      <family val="2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name val="Calibri"/>
      <family val="2"/>
      <scheme val="minor"/>
    </font>
    <font>
      <sz val="15"/>
      <name val="Calibri"/>
      <family val="2"/>
      <scheme val="minor"/>
    </font>
    <font>
      <b/>
      <u/>
      <sz val="15"/>
      <name val="Calibri"/>
      <family val="2"/>
      <scheme val="minor"/>
    </font>
    <font>
      <u/>
      <sz val="15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0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color indexed="9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8.5"/>
      <color indexed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6"/>
      <name val="Calibri"/>
      <family val="2"/>
      <scheme val="minor"/>
    </font>
    <font>
      <sz val="14"/>
      <color indexed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color rgb="FF993366"/>
      <name val="MS Sans Serif"/>
    </font>
    <font>
      <b/>
      <sz val="10"/>
      <color rgb="FF339966"/>
      <name val="MS Sans Serif"/>
    </font>
    <font>
      <b/>
      <sz val="13.5"/>
      <color rgb="FF339966"/>
      <name val="MS Sans Serif"/>
    </font>
    <font>
      <b/>
      <sz val="14"/>
      <color rgb="FF339966"/>
      <name val="MS Sans Serif"/>
    </font>
    <font>
      <sz val="14"/>
      <color theme="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8"/>
      <name val="Calibri"/>
      <family val="2"/>
      <scheme val="minor"/>
    </font>
    <font>
      <sz val="13.5"/>
      <name val="Calibri"/>
      <family val="2"/>
      <scheme val="minor"/>
    </font>
    <font>
      <i/>
      <sz val="8"/>
      <name val="Calibri"/>
      <family val="2"/>
      <scheme val="minor"/>
    </font>
    <font>
      <sz val="18"/>
      <name val="Calibri"/>
      <family val="2"/>
      <scheme val="minor"/>
    </font>
    <font>
      <b/>
      <sz val="22"/>
      <name val="Calibri"/>
      <family val="2"/>
      <scheme val="minor"/>
    </font>
    <font>
      <sz val="20"/>
      <name val="Calibri"/>
      <family val="2"/>
      <scheme val="minor"/>
    </font>
    <font>
      <b/>
      <u/>
      <sz val="20"/>
      <name val="Calibri"/>
      <family val="2"/>
      <scheme val="minor"/>
    </font>
    <font>
      <sz val="20"/>
      <color indexed="10"/>
      <name val="Calibri"/>
      <family val="2"/>
      <scheme val="minor"/>
    </font>
    <font>
      <i/>
      <sz val="14"/>
      <name val="Calibri"/>
      <family val="2"/>
      <scheme val="minor"/>
    </font>
    <font>
      <sz val="11"/>
      <color indexed="10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4"/>
      <name val="Calibri"/>
      <family val="2"/>
      <scheme val="minor"/>
    </font>
    <font>
      <sz val="2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mediumGray"/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3" fillId="0" borderId="0"/>
    <xf numFmtId="0" fontId="14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3" fillId="0" borderId="0"/>
  </cellStyleXfs>
  <cellXfs count="882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9" fillId="0" borderId="0" xfId="2" applyFont="1" applyAlignment="1">
      <alignment vertical="center"/>
    </xf>
    <xf numFmtId="0" fontId="9" fillId="3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8" fillId="0" borderId="1" xfId="9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/>
    </xf>
    <xf numFmtId="0" fontId="9" fillId="0" borderId="2" xfId="9" applyNumberFormat="1" applyFont="1" applyFill="1" applyBorder="1" applyAlignment="1">
      <alignment horizontal="right"/>
    </xf>
    <xf numFmtId="0" fontId="9" fillId="0" borderId="3" xfId="9" applyNumberFormat="1" applyFont="1" applyFill="1" applyBorder="1" applyAlignment="1">
      <alignment horizontal="right"/>
    </xf>
    <xf numFmtId="0" fontId="7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12" fillId="0" borderId="0" xfId="2" applyFont="1" applyBorder="1" applyAlignment="1" applyProtection="1">
      <alignment horizontal="center" vertical="center"/>
      <protection locked="0"/>
    </xf>
    <xf numFmtId="167" fontId="6" fillId="0" borderId="5" xfId="2" applyNumberFormat="1" applyFont="1" applyBorder="1" applyAlignment="1" applyProtection="1">
      <alignment horizontal="right" vertical="center"/>
      <protection locked="0"/>
    </xf>
    <xf numFmtId="170" fontId="6" fillId="0" borderId="3" xfId="2" applyNumberFormat="1" applyFont="1" applyBorder="1" applyAlignment="1" applyProtection="1">
      <alignment horizontal="right" vertical="center"/>
      <protection locked="0"/>
    </xf>
    <xf numFmtId="0" fontId="8" fillId="0" borderId="23" xfId="2" applyFont="1" applyBorder="1" applyAlignment="1">
      <alignment horizontal="center" vertical="center"/>
    </xf>
    <xf numFmtId="170" fontId="6" fillId="0" borderId="24" xfId="2" applyNumberFormat="1" applyFont="1" applyBorder="1" applyAlignment="1" applyProtection="1">
      <alignment horizontal="right" vertical="center"/>
      <protection locked="0"/>
    </xf>
    <xf numFmtId="170" fontId="6" fillId="0" borderId="25" xfId="2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center"/>
    </xf>
    <xf numFmtId="0" fontId="15" fillId="0" borderId="2" xfId="0" applyFont="1" applyFill="1" applyBorder="1" applyAlignment="1">
      <alignment horizontal="right"/>
    </xf>
    <xf numFmtId="0" fontId="15" fillId="0" borderId="2" xfId="0" applyFont="1" applyFill="1" applyBorder="1"/>
    <xf numFmtId="0" fontId="15" fillId="0" borderId="3" xfId="0" applyFont="1" applyFill="1" applyBorder="1" applyAlignment="1">
      <alignment horizontal="right"/>
    </xf>
    <xf numFmtId="0" fontId="15" fillId="0" borderId="3" xfId="0" applyFont="1" applyFill="1" applyBorder="1"/>
    <xf numFmtId="0" fontId="15" fillId="0" borderId="3" xfId="0" applyFont="1" applyBorder="1"/>
    <xf numFmtId="0" fontId="15" fillId="0" borderId="3" xfId="0" applyFont="1" applyBorder="1" applyAlignment="1">
      <alignment horizontal="right"/>
    </xf>
    <xf numFmtId="0" fontId="15" fillId="0" borderId="26" xfId="0" applyFont="1" applyFill="1" applyBorder="1" applyAlignment="1">
      <alignment horizontal="right"/>
    </xf>
    <xf numFmtId="0" fontId="15" fillId="0" borderId="26" xfId="0" applyFont="1" applyFill="1" applyBorder="1"/>
    <xf numFmtId="0" fontId="16" fillId="0" borderId="26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4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26" fillId="0" borderId="0" xfId="2" applyFont="1" applyAlignment="1" applyProtection="1">
      <alignment horizontal="left" vertical="center"/>
      <protection locked="0"/>
    </xf>
    <xf numFmtId="0" fontId="25" fillId="0" borderId="0" xfId="2" applyFont="1" applyAlignment="1">
      <alignment horizontal="center" vertical="center"/>
    </xf>
    <xf numFmtId="0" fontId="26" fillId="0" borderId="0" xfId="2" applyFont="1" applyAlignment="1" applyProtection="1">
      <alignment horizontal="right" vertical="center"/>
      <protection locked="0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0" borderId="0" xfId="2" applyFont="1" applyAlignment="1">
      <alignment horizontal="right" vertical="center"/>
    </xf>
    <xf numFmtId="0" fontId="27" fillId="0" borderId="53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27" fillId="0" borderId="54" xfId="2" applyFont="1" applyBorder="1" applyAlignment="1">
      <alignment horizontal="center" vertical="center"/>
    </xf>
    <xf numFmtId="0" fontId="27" fillId="0" borderId="55" xfId="2" applyFont="1" applyBorder="1" applyAlignment="1">
      <alignment horizontal="center" vertical="center"/>
    </xf>
    <xf numFmtId="1" fontId="19" fillId="0" borderId="56" xfId="2" applyNumberFormat="1" applyFont="1" applyBorder="1" applyAlignment="1" applyProtection="1">
      <alignment horizontal="center" vertical="center"/>
      <protection locked="0"/>
    </xf>
    <xf numFmtId="0" fontId="29" fillId="0" borderId="2" xfId="3" applyFont="1" applyFill="1" applyBorder="1" applyAlignment="1">
      <alignment horizontal="left" wrapText="1"/>
    </xf>
    <xf numFmtId="1" fontId="19" fillId="0" borderId="57" xfId="2" applyNumberFormat="1" applyFont="1" applyBorder="1" applyAlignment="1" applyProtection="1">
      <alignment horizontal="center" vertical="center"/>
      <protection locked="0"/>
    </xf>
    <xf numFmtId="0" fontId="29" fillId="0" borderId="3" xfId="3" applyFont="1" applyFill="1" applyBorder="1" applyAlignment="1">
      <alignment horizontal="left" wrapText="1"/>
    </xf>
    <xf numFmtId="1" fontId="19" fillId="0" borderId="58" xfId="2" applyNumberFormat="1" applyFont="1" applyBorder="1" applyAlignment="1" applyProtection="1">
      <alignment horizontal="center" vertical="center"/>
      <protection locked="0"/>
    </xf>
    <xf numFmtId="0" fontId="21" fillId="0" borderId="59" xfId="0" applyFont="1" applyBorder="1"/>
    <xf numFmtId="0" fontId="29" fillId="0" borderId="59" xfId="3" applyFont="1" applyFill="1" applyBorder="1" applyAlignment="1">
      <alignment horizontal="left" wrapText="1"/>
    </xf>
    <xf numFmtId="0" fontId="21" fillId="0" borderId="59" xfId="0" applyFont="1" applyBorder="1" applyAlignment="1">
      <alignment horizontal="center"/>
    </xf>
    <xf numFmtId="0" fontId="21" fillId="0" borderId="60" xfId="0" applyFont="1" applyFill="1" applyBorder="1" applyAlignment="1">
      <alignment horizontal="right"/>
    </xf>
    <xf numFmtId="1" fontId="19" fillId="0" borderId="61" xfId="2" applyNumberFormat="1" applyFont="1" applyBorder="1" applyAlignment="1" applyProtection="1">
      <alignment horizontal="center" vertical="center"/>
      <protection locked="0"/>
    </xf>
    <xf numFmtId="0" fontId="25" fillId="0" borderId="61" xfId="2" applyFont="1" applyBorder="1" applyAlignment="1" applyProtection="1">
      <alignment vertical="center"/>
      <protection locked="0"/>
    </xf>
    <xf numFmtId="0" fontId="25" fillId="0" borderId="61" xfId="2" applyFont="1" applyBorder="1" applyAlignment="1" applyProtection="1">
      <alignment horizontal="center" vertical="center"/>
      <protection locked="0"/>
    </xf>
    <xf numFmtId="0" fontId="29" fillId="0" borderId="0" xfId="3" applyFont="1" applyFill="1" applyBorder="1" applyAlignment="1">
      <alignment horizontal="left" wrapText="1"/>
    </xf>
    <xf numFmtId="0" fontId="25" fillId="0" borderId="61" xfId="2" applyFont="1" applyBorder="1" applyAlignment="1" applyProtection="1">
      <alignment horizontal="right" vertical="center"/>
      <protection locked="0"/>
    </xf>
    <xf numFmtId="1" fontId="19" fillId="0" borderId="3" xfId="2" applyNumberFormat="1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 applyProtection="1">
      <alignment vertical="center"/>
      <protection locked="0"/>
    </xf>
    <xf numFmtId="0" fontId="25" fillId="0" borderId="3" xfId="2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 applyProtection="1">
      <alignment horizontal="right" vertical="center"/>
      <protection locked="0"/>
    </xf>
    <xf numFmtId="1" fontId="19" fillId="0" borderId="3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>
      <alignment vertical="center"/>
    </xf>
    <xf numFmtId="0" fontId="30" fillId="0" borderId="0" xfId="2" applyFont="1" applyAlignment="1" applyProtection="1">
      <alignment horizontal="right" vertical="center"/>
      <protection locked="0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9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centerContinuous" vertical="center"/>
      <protection hidden="1"/>
    </xf>
    <xf numFmtId="0" fontId="39" fillId="0" borderId="0" xfId="0" applyFont="1" applyAlignment="1" applyProtection="1">
      <alignment horizontal="centerContinuous" vertical="center"/>
      <protection hidden="1"/>
    </xf>
    <xf numFmtId="0" fontId="42" fillId="0" borderId="0" xfId="0" applyFont="1" applyAlignment="1" applyProtection="1">
      <alignment horizontal="centerContinuous"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44" fillId="0" borderId="0" xfId="0" applyFont="1" applyFill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21" fillId="0" borderId="0" xfId="0" applyFont="1" applyFill="1" applyAlignment="1" applyProtection="1">
      <alignment horizontal="centerContinuous" vertical="center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45" fillId="0" borderId="63" xfId="0" applyFont="1" applyFill="1" applyBorder="1" applyAlignment="1" applyProtection="1">
      <alignment horizontal="left" vertical="center"/>
      <protection hidden="1"/>
    </xf>
    <xf numFmtId="0" fontId="21" fillId="0" borderId="62" xfId="0" applyFont="1" applyFill="1" applyBorder="1" applyAlignment="1" applyProtection="1">
      <alignment vertical="center"/>
      <protection hidden="1"/>
    </xf>
    <xf numFmtId="0" fontId="21" fillId="0" borderId="93" xfId="0" applyFont="1" applyFill="1" applyBorder="1" applyAlignment="1" applyProtection="1">
      <alignment horizontal="centerContinuous" vertical="center"/>
      <protection hidden="1"/>
    </xf>
    <xf numFmtId="0" fontId="21" fillId="0" borderId="96" xfId="0" applyFont="1" applyFill="1" applyBorder="1" applyAlignment="1" applyProtection="1">
      <alignment horizontal="centerContinuous" vertical="center"/>
      <protection hidden="1"/>
    </xf>
    <xf numFmtId="0" fontId="21" fillId="0" borderId="63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1" fillId="0" borderId="48" xfId="0" applyFont="1" applyFill="1" applyBorder="1" applyAlignment="1" applyProtection="1">
      <alignment vertical="center"/>
      <protection hidden="1"/>
    </xf>
    <xf numFmtId="0" fontId="21" fillId="0" borderId="93" xfId="0" applyFont="1" applyFill="1" applyBorder="1" applyAlignment="1" applyProtection="1">
      <alignment vertical="center"/>
      <protection hidden="1"/>
    </xf>
    <xf numFmtId="0" fontId="21" fillId="0" borderId="96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1" fillId="0" borderId="101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horizontal="centerContinuous" vertical="center"/>
      <protection hidden="1"/>
    </xf>
    <xf numFmtId="0" fontId="21" fillId="0" borderId="63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45" fillId="0" borderId="63" xfId="0" applyFont="1" applyFill="1" applyBorder="1" applyAlignment="1" applyProtection="1">
      <alignment horizontal="center" vertical="center"/>
      <protection hidden="1"/>
    </xf>
    <xf numFmtId="0" fontId="21" fillId="0" borderId="109" xfId="0" applyFont="1" applyFill="1" applyBorder="1" applyAlignment="1" applyProtection="1">
      <alignment vertical="center"/>
      <protection hidden="1"/>
    </xf>
    <xf numFmtId="0" fontId="45" fillId="0" borderId="0" xfId="0" quotePrefix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1" fillId="0" borderId="111" xfId="0" applyFont="1" applyFill="1" applyBorder="1" applyAlignment="1" applyProtection="1">
      <alignment vertical="center"/>
      <protection hidden="1"/>
    </xf>
    <xf numFmtId="0" fontId="21" fillId="0" borderId="112" xfId="0" applyFont="1" applyFill="1" applyBorder="1" applyAlignment="1" applyProtection="1">
      <alignment vertical="center"/>
      <protection hidden="1"/>
    </xf>
    <xf numFmtId="0" fontId="21" fillId="0" borderId="113" xfId="0" applyFont="1" applyFill="1" applyBorder="1" applyAlignment="1" applyProtection="1">
      <alignment horizontal="center" vertical="center"/>
      <protection hidden="1"/>
    </xf>
    <xf numFmtId="0" fontId="44" fillId="0" borderId="114" xfId="0" applyFont="1" applyFill="1" applyBorder="1" applyAlignment="1" applyProtection="1">
      <alignment horizontal="left" vertical="center"/>
      <protection hidden="1"/>
    </xf>
    <xf numFmtId="0" fontId="46" fillId="0" borderId="114" xfId="0" applyFont="1" applyFill="1" applyBorder="1" applyAlignment="1" applyProtection="1">
      <alignment horizontal="center" vertical="top"/>
      <protection hidden="1"/>
    </xf>
    <xf numFmtId="0" fontId="21" fillId="0" borderId="113" xfId="0" applyFont="1" applyFill="1" applyBorder="1" applyAlignment="1" applyProtection="1">
      <alignment vertical="center"/>
      <protection hidden="1"/>
    </xf>
    <xf numFmtId="0" fontId="21" fillId="0" borderId="110" xfId="0" applyFont="1" applyFill="1" applyBorder="1" applyAlignment="1" applyProtection="1">
      <alignment vertical="center"/>
      <protection hidden="1"/>
    </xf>
    <xf numFmtId="0" fontId="21" fillId="0" borderId="108" xfId="0" applyFont="1" applyFill="1" applyBorder="1" applyAlignment="1" applyProtection="1">
      <alignment vertical="center"/>
      <protection hidden="1"/>
    </xf>
    <xf numFmtId="0" fontId="47" fillId="0" borderId="0" xfId="0" applyFont="1" applyFill="1" applyAlignment="1" applyProtection="1">
      <alignment vertical="center"/>
      <protection hidden="1"/>
    </xf>
    <xf numFmtId="0" fontId="21" fillId="0" borderId="113" xfId="0" applyFont="1" applyFill="1" applyBorder="1" applyAlignment="1" applyProtection="1">
      <alignment horizontal="centerContinuous"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109" xfId="0" applyFont="1" applyBorder="1" applyAlignment="1" applyProtection="1">
      <alignment vertical="center"/>
      <protection hidden="1"/>
    </xf>
    <xf numFmtId="0" fontId="21" fillId="0" borderId="110" xfId="0" applyFont="1" applyBorder="1" applyAlignment="1" applyProtection="1">
      <alignment vertical="center"/>
      <protection hidden="1"/>
    </xf>
    <xf numFmtId="0" fontId="44" fillId="0" borderId="63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11" xfId="0" applyFont="1" applyBorder="1" applyAlignment="1" applyProtection="1">
      <alignment vertical="center"/>
      <protection hidden="1"/>
    </xf>
    <xf numFmtId="0" fontId="21" fillId="0" borderId="112" xfId="0" applyFont="1" applyBorder="1" applyAlignment="1" applyProtection="1">
      <alignment vertical="center"/>
      <protection hidden="1"/>
    </xf>
    <xf numFmtId="0" fontId="21" fillId="0" borderId="113" xfId="0" applyFont="1" applyBorder="1" applyAlignment="1" applyProtection="1">
      <alignment vertical="center"/>
      <protection hidden="1"/>
    </xf>
    <xf numFmtId="0" fontId="45" fillId="0" borderId="0" xfId="0" quotePrefix="1" applyFont="1" applyBorder="1" applyAlignment="1" applyProtection="1">
      <alignment horizontal="center" vertical="center"/>
      <protection hidden="1"/>
    </xf>
    <xf numFmtId="0" fontId="21" fillId="0" borderId="0" xfId="8" applyFont="1" applyAlignment="1" applyProtection="1">
      <alignment vertical="center"/>
      <protection hidden="1"/>
    </xf>
    <xf numFmtId="0" fontId="21" fillId="0" borderId="0" xfId="1" applyFont="1" applyProtection="1">
      <protection hidden="1"/>
    </xf>
    <xf numFmtId="0" fontId="19" fillId="0" borderId="53" xfId="1" applyFont="1" applyBorder="1" applyAlignment="1" applyProtection="1">
      <alignment horizontal="center" vertical="center"/>
      <protection hidden="1"/>
    </xf>
    <xf numFmtId="0" fontId="19" fillId="0" borderId="71" xfId="1" applyFont="1" applyBorder="1" applyAlignment="1" applyProtection="1">
      <alignment horizontal="center" vertical="center"/>
      <protection hidden="1"/>
    </xf>
    <xf numFmtId="0" fontId="19" fillId="12" borderId="71" xfId="1" applyFont="1" applyFill="1" applyBorder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vertical="center"/>
      <protection hidden="1"/>
    </xf>
    <xf numFmtId="0" fontId="19" fillId="0" borderId="125" xfId="1" applyFont="1" applyBorder="1" applyAlignment="1" applyProtection="1">
      <alignment horizontal="center" vertical="center"/>
      <protection hidden="1"/>
    </xf>
    <xf numFmtId="0" fontId="21" fillId="0" borderId="1" xfId="10" applyFont="1" applyBorder="1" applyAlignment="1" applyProtection="1">
      <alignment horizontal="center" vertical="center"/>
      <protection hidden="1"/>
    </xf>
    <xf numFmtId="0" fontId="49" fillId="12" borderId="1" xfId="1" applyFont="1" applyFill="1" applyBorder="1" applyAlignment="1" applyProtection="1">
      <alignment horizontal="center" vertical="center"/>
      <protection hidden="1"/>
    </xf>
    <xf numFmtId="0" fontId="21" fillId="0" borderId="1" xfId="10" applyFont="1" applyBorder="1" applyAlignment="1" applyProtection="1">
      <alignment horizontal="left" vertical="center"/>
      <protection hidden="1"/>
    </xf>
    <xf numFmtId="0" fontId="21" fillId="0" borderId="1" xfId="10" applyFont="1" applyBorder="1" applyAlignment="1" applyProtection="1">
      <alignment horizontal="centerContinuous" vertical="center"/>
      <protection hidden="1"/>
    </xf>
    <xf numFmtId="0" fontId="21" fillId="0" borderId="75" xfId="1" applyFont="1" applyBorder="1" applyAlignment="1" applyProtection="1">
      <alignment horizontal="left" vertical="center"/>
    </xf>
    <xf numFmtId="0" fontId="19" fillId="0" borderId="126" xfId="1" applyFont="1" applyBorder="1" applyAlignment="1" applyProtection="1">
      <alignment horizontal="center" vertical="center"/>
      <protection hidden="1"/>
    </xf>
    <xf numFmtId="0" fontId="21" fillId="0" borderId="127" xfId="10" applyFont="1" applyBorder="1" applyAlignment="1" applyProtection="1">
      <alignment horizontal="center" vertical="center"/>
      <protection hidden="1"/>
    </xf>
    <xf numFmtId="0" fontId="49" fillId="12" borderId="127" xfId="1" applyFont="1" applyFill="1" applyBorder="1" applyAlignment="1" applyProtection="1">
      <alignment horizontal="center" vertical="center"/>
      <protection hidden="1"/>
    </xf>
    <xf numFmtId="0" fontId="21" fillId="0" borderId="127" xfId="10" applyFont="1" applyBorder="1" applyAlignment="1" applyProtection="1">
      <alignment horizontal="left" vertical="center"/>
      <protection hidden="1"/>
    </xf>
    <xf numFmtId="0" fontId="21" fillId="0" borderId="127" xfId="10" applyFont="1" applyBorder="1" applyAlignment="1" applyProtection="1">
      <alignment horizontal="centerContinuous" vertical="center"/>
      <protection hidden="1"/>
    </xf>
    <xf numFmtId="0" fontId="21" fillId="0" borderId="129" xfId="1" applyFont="1" applyBorder="1" applyAlignment="1" applyProtection="1">
      <alignment horizontal="left" vertical="center"/>
    </xf>
    <xf numFmtId="0" fontId="21" fillId="0" borderId="48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101" xfId="0" applyFont="1" applyBorder="1" applyAlignment="1">
      <alignment vertical="center"/>
    </xf>
    <xf numFmtId="0" fontId="48" fillId="0" borderId="48" xfId="0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34" fillId="0" borderId="101" xfId="0" applyFont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50" fillId="13" borderId="0" xfId="0" applyFont="1" applyFill="1" applyBorder="1" applyAlignment="1">
      <alignment horizontal="center" vertical="center"/>
    </xf>
    <xf numFmtId="0" fontId="48" fillId="0" borderId="48" xfId="7" applyFont="1" applyBorder="1" applyAlignment="1">
      <alignment vertical="center"/>
    </xf>
    <xf numFmtId="0" fontId="30" fillId="0" borderId="0" xfId="7" applyFont="1" applyBorder="1" applyAlignment="1">
      <alignment vertical="center"/>
    </xf>
    <xf numFmtId="0" fontId="48" fillId="0" borderId="0" xfId="7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8" fillId="0" borderId="101" xfId="0" applyFont="1" applyBorder="1" applyAlignment="1">
      <alignment vertical="center"/>
    </xf>
    <xf numFmtId="0" fontId="48" fillId="0" borderId="48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51" fillId="0" borderId="48" xfId="7" applyFont="1" applyBorder="1" applyAlignment="1">
      <alignment horizontal="center" vertical="center"/>
    </xf>
    <xf numFmtId="0" fontId="51" fillId="0" borderId="0" xfId="7" applyFont="1" applyBorder="1" applyAlignment="1">
      <alignment horizontal="center" vertical="center"/>
    </xf>
    <xf numFmtId="0" fontId="30" fillId="4" borderId="88" xfId="7" applyFont="1" applyFill="1" applyBorder="1" applyAlignment="1">
      <alignment horizontal="center" vertical="center"/>
    </xf>
    <xf numFmtId="0" fontId="30" fillId="4" borderId="62" xfId="7" applyFont="1" applyFill="1" applyBorder="1" applyAlignment="1">
      <alignment horizontal="center" vertical="center"/>
    </xf>
    <xf numFmtId="0" fontId="21" fillId="0" borderId="48" xfId="7" applyFont="1" applyBorder="1" applyAlignment="1">
      <alignment horizontal="center" vertical="center"/>
    </xf>
    <xf numFmtId="0" fontId="21" fillId="0" borderId="0" xfId="7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1" fillId="0" borderId="50" xfId="0" applyFont="1" applyBorder="1" applyAlignment="1">
      <alignment vertical="center"/>
    </xf>
    <xf numFmtId="0" fontId="21" fillId="0" borderId="88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97" xfId="0" applyFont="1" applyBorder="1" applyAlignment="1">
      <alignment vertical="center"/>
    </xf>
    <xf numFmtId="0" fontId="46" fillId="0" borderId="48" xfId="0" applyFont="1" applyBorder="1" applyAlignment="1">
      <alignment vertical="center"/>
    </xf>
    <xf numFmtId="0" fontId="21" fillId="4" borderId="88" xfId="0" applyFont="1" applyFill="1" applyBorder="1" applyAlignment="1">
      <alignment vertical="center"/>
    </xf>
    <xf numFmtId="0" fontId="21" fillId="14" borderId="88" xfId="0" applyFont="1" applyFill="1" applyBorder="1" applyAlignment="1">
      <alignment vertical="center"/>
    </xf>
    <xf numFmtId="0" fontId="21" fillId="14" borderId="62" xfId="0" applyFont="1" applyFill="1" applyBorder="1" applyAlignment="1">
      <alignment vertical="center"/>
    </xf>
    <xf numFmtId="0" fontId="21" fillId="4" borderId="47" xfId="0" applyFont="1" applyFill="1" applyBorder="1" applyAlignment="1">
      <alignment vertical="center"/>
    </xf>
    <xf numFmtId="0" fontId="21" fillId="14" borderId="47" xfId="0" applyFont="1" applyFill="1" applyBorder="1" applyAlignment="1">
      <alignment vertical="center"/>
    </xf>
    <xf numFmtId="0" fontId="21" fillId="14" borderId="97" xfId="0" applyFont="1" applyFill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8" fillId="0" borderId="62" xfId="0" applyFont="1" applyBorder="1" applyAlignment="1">
      <alignment vertical="center"/>
    </xf>
    <xf numFmtId="0" fontId="21" fillId="0" borderId="63" xfId="0" applyFont="1" applyBorder="1" applyAlignment="1">
      <alignment vertical="center"/>
    </xf>
    <xf numFmtId="0" fontId="21" fillId="0" borderId="108" xfId="0" applyFont="1" applyBorder="1" applyAlignment="1">
      <alignment vertical="center"/>
    </xf>
    <xf numFmtId="0" fontId="21" fillId="0" borderId="93" xfId="0" applyFont="1" applyBorder="1" applyAlignment="1">
      <alignment vertical="center"/>
    </xf>
    <xf numFmtId="0" fontId="21" fillId="0" borderId="96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25" fillId="0" borderId="97" xfId="7" applyFont="1" applyBorder="1" applyAlignment="1">
      <alignment vertical="center"/>
    </xf>
    <xf numFmtId="20" fontId="24" fillId="0" borderId="0" xfId="0" applyNumberFormat="1" applyFont="1" applyBorder="1" applyAlignment="1">
      <alignment vertical="center"/>
    </xf>
    <xf numFmtId="0" fontId="52" fillId="13" borderId="0" xfId="0" applyFont="1" applyFill="1" applyBorder="1" applyAlignment="1">
      <alignment horizontal="center" vertical="center"/>
    </xf>
    <xf numFmtId="0" fontId="46" fillId="0" borderId="48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20" fontId="30" fillId="0" borderId="0" xfId="0" applyNumberFormat="1" applyFont="1" applyBorder="1" applyAlignment="1">
      <alignment vertical="center"/>
    </xf>
    <xf numFmtId="0" fontId="21" fillId="0" borderId="48" xfId="7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0" fontId="21" fillId="0" borderId="88" xfId="0" applyFont="1" applyFill="1" applyBorder="1" applyAlignment="1">
      <alignment vertical="center"/>
    </xf>
    <xf numFmtId="20" fontId="24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9" xfId="0" applyFont="1" applyBorder="1" applyAlignment="1" applyProtection="1">
      <alignment vertical="center"/>
      <protection hidden="1"/>
    </xf>
    <xf numFmtId="0" fontId="34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44" fillId="0" borderId="63" xfId="0" applyFont="1" applyFill="1" applyBorder="1" applyAlignment="1" applyProtection="1">
      <alignment horizontal="center" vertical="center"/>
      <protection hidden="1"/>
    </xf>
    <xf numFmtId="0" fontId="44" fillId="0" borderId="108" xfId="0" applyFont="1" applyFill="1" applyBorder="1" applyAlignment="1" applyProtection="1">
      <alignment horizontal="center" vertical="center"/>
      <protection hidden="1"/>
    </xf>
    <xf numFmtId="0" fontId="46" fillId="0" borderId="63" xfId="0" applyFont="1" applyFill="1" applyBorder="1" applyAlignment="1" applyProtection="1">
      <alignment horizontal="center" vertical="top"/>
      <protection hidden="1"/>
    </xf>
    <xf numFmtId="0" fontId="44" fillId="0" borderId="63" xfId="10" applyFont="1" applyBorder="1" applyAlignment="1" applyProtection="1">
      <alignment horizontal="left" vertical="center"/>
      <protection hidden="1"/>
    </xf>
    <xf numFmtId="0" fontId="54" fillId="0" borderId="0" xfId="0" applyFont="1" applyBorder="1" applyAlignment="1" applyProtection="1">
      <alignment horizontal="center" vertical="center"/>
      <protection hidden="1"/>
    </xf>
    <xf numFmtId="166" fontId="34" fillId="0" borderId="70" xfId="0" applyNumberFormat="1" applyFont="1" applyBorder="1" applyAlignment="1" applyProtection="1">
      <alignment horizontal="center" vertical="center"/>
      <protection locked="0"/>
    </xf>
    <xf numFmtId="166" fontId="34" fillId="0" borderId="71" xfId="0" applyNumberFormat="1" applyFont="1" applyBorder="1" applyAlignment="1" applyProtection="1">
      <alignment horizontal="center" vertical="center"/>
      <protection locked="0"/>
    </xf>
    <xf numFmtId="166" fontId="34" fillId="0" borderId="77" xfId="0" applyNumberFormat="1" applyFont="1" applyFill="1" applyBorder="1" applyAlignment="1" applyProtection="1">
      <alignment horizontal="center" vertical="center"/>
      <protection locked="0"/>
    </xf>
    <xf numFmtId="166" fontId="34" fillId="0" borderId="1" xfId="0" applyNumberFormat="1" applyFont="1" applyFill="1" applyBorder="1" applyAlignment="1" applyProtection="1">
      <alignment horizontal="center" vertical="center"/>
      <protection locked="0"/>
    </xf>
    <xf numFmtId="166" fontId="34" fillId="0" borderId="1" xfId="0" applyNumberFormat="1" applyFont="1" applyBorder="1" applyAlignment="1" applyProtection="1">
      <alignment horizontal="center" vertical="center"/>
      <protection locked="0"/>
    </xf>
    <xf numFmtId="166" fontId="34" fillId="0" borderId="77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4" applyFont="1" applyAlignment="1" applyProtection="1">
      <alignment horizontal="center" vertical="center"/>
      <protection hidden="1"/>
    </xf>
    <xf numFmtId="0" fontId="34" fillId="0" borderId="62" xfId="0" applyNumberFormat="1" applyFont="1" applyBorder="1" applyAlignment="1" applyProtection="1">
      <alignment vertical="center"/>
      <protection hidden="1"/>
    </xf>
    <xf numFmtId="0" fontId="34" fillId="0" borderId="63" xfId="0" applyNumberFormat="1" applyFont="1" applyBorder="1" applyAlignment="1" applyProtection="1">
      <alignment vertical="center"/>
      <protection hidden="1"/>
    </xf>
    <xf numFmtId="0" fontId="34" fillId="0" borderId="62" xfId="0" applyNumberFormat="1" applyFont="1" applyBorder="1" applyAlignment="1" applyProtection="1">
      <alignment horizontal="center" vertical="center"/>
      <protection hidden="1"/>
    </xf>
    <xf numFmtId="0" fontId="34" fillId="0" borderId="48" xfId="0" applyNumberFormat="1" applyFont="1" applyBorder="1" applyAlignment="1" applyProtection="1">
      <alignment vertical="center"/>
      <protection hidden="1"/>
    </xf>
    <xf numFmtId="0" fontId="34" fillId="0" borderId="0" xfId="0" applyNumberFormat="1" applyFont="1" applyAlignment="1" applyProtection="1">
      <alignment vertical="center"/>
      <protection hidden="1"/>
    </xf>
    <xf numFmtId="0" fontId="34" fillId="0" borderId="0" xfId="0" applyNumberFormat="1" applyFont="1" applyAlignment="1" applyProtection="1">
      <alignment horizontal="center" vertical="center"/>
      <protection hidden="1"/>
    </xf>
    <xf numFmtId="165" fontId="34" fillId="0" borderId="62" xfId="0" applyNumberFormat="1" applyFont="1" applyBorder="1" applyAlignment="1" applyProtection="1">
      <alignment vertical="center"/>
      <protection hidden="1"/>
    </xf>
    <xf numFmtId="0" fontId="34" fillId="0" borderId="63" xfId="0" applyNumberFormat="1" applyFont="1" applyBorder="1" applyAlignment="1" applyProtection="1">
      <alignment horizontal="center" vertical="center"/>
      <protection hidden="1"/>
    </xf>
    <xf numFmtId="169" fontId="34" fillId="0" borderId="0" xfId="0" applyNumberFormat="1" applyFont="1" applyAlignment="1" applyProtection="1">
      <alignment vertical="center"/>
      <protection hidden="1"/>
    </xf>
    <xf numFmtId="164" fontId="34" fillId="0" borderId="0" xfId="0" applyNumberFormat="1" applyFont="1" applyAlignment="1" applyProtection="1">
      <alignment vertical="center"/>
      <protection hidden="1"/>
    </xf>
    <xf numFmtId="0" fontId="34" fillId="0" borderId="0" xfId="4" applyFont="1" applyAlignment="1" applyProtection="1">
      <alignment vertical="center"/>
      <protection hidden="1"/>
    </xf>
    <xf numFmtId="0" fontId="34" fillId="0" borderId="0" xfId="0" applyNumberFormat="1" applyFont="1" applyBorder="1" applyAlignment="1" applyProtection="1">
      <alignment vertical="center"/>
      <protection hidden="1"/>
    </xf>
    <xf numFmtId="0" fontId="34" fillId="0" borderId="0" xfId="0" applyNumberFormat="1" applyFont="1" applyBorder="1" applyAlignment="1" applyProtection="1">
      <alignment horizontal="center" vertical="center"/>
      <protection hidden="1"/>
    </xf>
    <xf numFmtId="0" fontId="34" fillId="0" borderId="0" xfId="0" applyNumberFormat="1" applyFont="1" applyAlignment="1" applyProtection="1">
      <alignment horizontal="centerContinuous" vertical="center"/>
      <protection hidden="1"/>
    </xf>
    <xf numFmtId="0" fontId="34" fillId="0" borderId="0" xfId="4" applyFont="1" applyAlignment="1" applyProtection="1">
      <alignment horizontal="center" vertical="center"/>
      <protection hidden="1"/>
    </xf>
    <xf numFmtId="0" fontId="34" fillId="0" borderId="0" xfId="0" applyNumberFormat="1" applyFont="1" applyFill="1" applyBorder="1" applyAlignment="1" applyProtection="1">
      <alignment horizontal="center" vertical="center"/>
      <protection hidden="1"/>
    </xf>
    <xf numFmtId="0" fontId="34" fillId="0" borderId="80" xfId="0" applyNumberFormat="1" applyFont="1" applyBorder="1" applyAlignment="1" applyProtection="1">
      <alignment horizontal="centerContinuous" vertical="center"/>
      <protection hidden="1"/>
    </xf>
    <xf numFmtId="0" fontId="34" fillId="0" borderId="27" xfId="0" applyNumberFormat="1" applyFont="1" applyBorder="1" applyAlignment="1" applyProtection="1">
      <alignment horizontal="center" vertical="center"/>
      <protection hidden="1"/>
    </xf>
    <xf numFmtId="0" fontId="34" fillId="0" borderId="27" xfId="0" applyNumberFormat="1" applyFont="1" applyBorder="1" applyAlignment="1" applyProtection="1">
      <alignment vertical="center"/>
      <protection hidden="1"/>
    </xf>
    <xf numFmtId="0" fontId="34" fillId="0" borderId="81" xfId="0" applyNumberFormat="1" applyFont="1" applyBorder="1" applyAlignment="1" applyProtection="1">
      <alignment horizontal="centerContinuous" vertical="center"/>
      <protection hidden="1"/>
    </xf>
    <xf numFmtId="0" fontId="34" fillId="0" borderId="82" xfId="0" applyNumberFormat="1" applyFont="1" applyBorder="1" applyAlignment="1" applyProtection="1">
      <alignment horizontal="centerContinuous" vertical="center"/>
      <protection hidden="1"/>
    </xf>
    <xf numFmtId="0" fontId="34" fillId="0" borderId="82" xfId="4" applyFont="1" applyBorder="1" applyAlignment="1" applyProtection="1">
      <alignment horizontal="centerContinuous" vertical="center"/>
      <protection hidden="1"/>
    </xf>
    <xf numFmtId="0" fontId="34" fillId="0" borderId="83" xfId="4" applyFont="1" applyBorder="1" applyAlignment="1" applyProtection="1">
      <alignment horizontal="centerContinuous" vertical="center"/>
      <protection hidden="1"/>
    </xf>
    <xf numFmtId="0" fontId="34" fillId="0" borderId="84" xfId="0" applyNumberFormat="1" applyFont="1" applyBorder="1" applyAlignment="1" applyProtection="1">
      <alignment horizontal="left" vertical="center"/>
      <protection hidden="1"/>
    </xf>
    <xf numFmtId="0" fontId="34" fillId="0" borderId="85" xfId="0" applyNumberFormat="1" applyFont="1" applyBorder="1" applyAlignment="1" applyProtection="1">
      <alignment horizontal="left" vertical="center"/>
      <protection hidden="1"/>
    </xf>
    <xf numFmtId="0" fontId="34" fillId="0" borderId="29" xfId="0" applyNumberFormat="1" applyFont="1" applyBorder="1" applyAlignment="1" applyProtection="1">
      <alignment horizontal="left" vertical="center"/>
      <protection hidden="1"/>
    </xf>
    <xf numFmtId="0" fontId="34" fillId="0" borderId="0" xfId="0" applyNumberFormat="1" applyFont="1" applyFill="1" applyBorder="1" applyAlignment="1" applyProtection="1">
      <alignment horizontal="centerContinuous" vertical="center"/>
      <protection hidden="1"/>
    </xf>
    <xf numFmtId="0" fontId="34" fillId="0" borderId="86" xfId="0" applyNumberFormat="1" applyFont="1" applyBorder="1" applyAlignment="1" applyProtection="1">
      <alignment vertical="center"/>
      <protection hidden="1"/>
    </xf>
    <xf numFmtId="0" fontId="34" fillId="0" borderId="45" xfId="0" applyNumberFormat="1" applyFont="1" applyBorder="1" applyAlignment="1" applyProtection="1">
      <alignment vertical="center"/>
      <protection hidden="1"/>
    </xf>
    <xf numFmtId="0" fontId="34" fillId="0" borderId="87" xfId="0" applyNumberFormat="1" applyFont="1" applyBorder="1" applyAlignment="1" applyProtection="1">
      <alignment vertical="center"/>
      <protection hidden="1"/>
    </xf>
    <xf numFmtId="0" fontId="34" fillId="4" borderId="62" xfId="0" applyNumberFormat="1" applyFont="1" applyFill="1" applyBorder="1" applyAlignment="1" applyProtection="1">
      <alignment vertical="center"/>
      <protection hidden="1"/>
    </xf>
    <xf numFmtId="0" fontId="34" fillId="0" borderId="88" xfId="0" applyNumberFormat="1" applyFont="1" applyBorder="1" applyAlignment="1" applyProtection="1">
      <alignment vertical="center"/>
      <protection hidden="1"/>
    </xf>
    <xf numFmtId="0" fontId="34" fillId="0" borderId="0" xfId="0" applyNumberFormat="1" applyFont="1" applyFill="1" applyBorder="1" applyAlignment="1" applyProtection="1">
      <alignment vertical="center"/>
      <protection hidden="1"/>
    </xf>
    <xf numFmtId="0" fontId="34" fillId="0" borderId="89" xfId="0" applyNumberFormat="1" applyFont="1" applyBorder="1" applyAlignment="1" applyProtection="1">
      <alignment vertical="center"/>
      <protection hidden="1"/>
    </xf>
    <xf numFmtId="0" fontId="34" fillId="4" borderId="62" xfId="0" applyNumberFormat="1" applyFont="1" applyFill="1" applyBorder="1" applyAlignment="1" applyProtection="1">
      <alignment horizontal="center" vertical="center"/>
      <protection hidden="1"/>
    </xf>
    <xf numFmtId="0" fontId="34" fillId="0" borderId="88" xfId="0" applyNumberFormat="1" applyFont="1" applyBorder="1" applyAlignment="1" applyProtection="1">
      <alignment horizontal="center" vertical="center"/>
      <protection hidden="1"/>
    </xf>
    <xf numFmtId="0" fontId="34" fillId="0" borderId="76" xfId="0" applyNumberFormat="1" applyFont="1" applyBorder="1" applyAlignment="1" applyProtection="1">
      <alignment vertical="center"/>
      <protection hidden="1"/>
    </xf>
    <xf numFmtId="0" fontId="34" fillId="0" borderId="77" xfId="0" applyNumberFormat="1" applyFont="1" applyBorder="1" applyAlignment="1" applyProtection="1">
      <alignment horizontal="center" vertical="center"/>
      <protection hidden="1"/>
    </xf>
    <xf numFmtId="0" fontId="34" fillId="0" borderId="79" xfId="0" applyNumberFormat="1" applyFont="1" applyBorder="1" applyAlignment="1" applyProtection="1">
      <alignment horizontal="center" vertical="center"/>
      <protection hidden="1"/>
    </xf>
    <xf numFmtId="0" fontId="34" fillId="0" borderId="90" xfId="0" applyNumberFormat="1" applyFont="1" applyBorder="1" applyAlignment="1" applyProtection="1">
      <alignment horizontal="center" vertical="center"/>
      <protection hidden="1"/>
    </xf>
    <xf numFmtId="0" fontId="34" fillId="0" borderId="89" xfId="0" applyNumberFormat="1" applyFont="1" applyBorder="1" applyAlignment="1" applyProtection="1">
      <alignment horizontal="center" vertical="center"/>
      <protection hidden="1"/>
    </xf>
    <xf numFmtId="0" fontId="34" fillId="0" borderId="29" xfId="0" applyNumberFormat="1" applyFont="1" applyBorder="1" applyAlignment="1" applyProtection="1">
      <alignment horizontal="center" vertical="center"/>
      <protection hidden="1"/>
    </xf>
    <xf numFmtId="0" fontId="34" fillId="0" borderId="91" xfId="0" applyNumberFormat="1" applyFont="1" applyBorder="1" applyAlignment="1" applyProtection="1">
      <alignment horizontal="center" vertical="center"/>
      <protection hidden="1"/>
    </xf>
    <xf numFmtId="0" fontId="34" fillId="0" borderId="92" xfId="0" applyNumberFormat="1" applyFont="1" applyBorder="1" applyAlignment="1" applyProtection="1">
      <alignment horizontal="center" vertical="center"/>
      <protection hidden="1"/>
    </xf>
    <xf numFmtId="0" fontId="34" fillId="0" borderId="46" xfId="0" applyNumberFormat="1" applyFont="1" applyBorder="1" applyAlignment="1" applyProtection="1">
      <alignment horizontal="center" vertical="center"/>
      <protection hidden="1"/>
    </xf>
    <xf numFmtId="0" fontId="34" fillId="0" borderId="93" xfId="0" applyNumberFormat="1" applyFont="1" applyBorder="1" applyAlignment="1" applyProtection="1">
      <alignment horizontal="center" vertical="center"/>
      <protection hidden="1"/>
    </xf>
    <xf numFmtId="0" fontId="24" fillId="0" borderId="94" xfId="0" applyNumberFormat="1" applyFont="1" applyBorder="1" applyAlignment="1" applyProtection="1">
      <alignment horizontal="center" vertical="center"/>
      <protection hidden="1"/>
    </xf>
    <xf numFmtId="0" fontId="34" fillId="0" borderId="95" xfId="0" applyNumberFormat="1" applyFont="1" applyBorder="1" applyAlignment="1" applyProtection="1">
      <alignment horizontal="center" vertical="center"/>
      <protection hidden="1"/>
    </xf>
    <xf numFmtId="0" fontId="34" fillId="0" borderId="96" xfId="0" applyNumberFormat="1" applyFont="1" applyBorder="1" applyAlignment="1" applyProtection="1">
      <alignment horizontal="center" vertical="center"/>
      <protection hidden="1"/>
    </xf>
    <xf numFmtId="0" fontId="34" fillId="0" borderId="97" xfId="0" applyNumberFormat="1" applyFont="1" applyBorder="1" applyAlignment="1" applyProtection="1">
      <alignment horizontal="center" vertical="center"/>
      <protection hidden="1"/>
    </xf>
    <xf numFmtId="0" fontId="34" fillId="0" borderId="98" xfId="0" applyNumberFormat="1" applyFont="1" applyBorder="1" applyAlignment="1" applyProtection="1">
      <alignment horizontal="center" vertical="center"/>
      <protection hidden="1"/>
    </xf>
    <xf numFmtId="0" fontId="24" fillId="9" borderId="97" xfId="0" applyNumberFormat="1" applyFont="1" applyFill="1" applyBorder="1" applyAlignment="1" applyProtection="1">
      <alignment horizontal="center" vertical="center"/>
      <protection hidden="1"/>
    </xf>
    <xf numFmtId="0" fontId="24" fillId="0" borderId="97" xfId="0" applyNumberFormat="1" applyFont="1" applyFill="1" applyBorder="1" applyAlignment="1" applyProtection="1">
      <alignment horizontal="center" vertical="center"/>
      <protection hidden="1"/>
    </xf>
    <xf numFmtId="0" fontId="24" fillId="0" borderId="29" xfId="0" applyFont="1" applyBorder="1" applyAlignment="1" applyProtection="1">
      <alignment horizontal="center" vertical="center"/>
      <protection hidden="1"/>
    </xf>
    <xf numFmtId="0" fontId="24" fillId="9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48" xfId="0" applyNumberFormat="1" applyFont="1" applyFill="1" applyBorder="1" applyAlignment="1" applyProtection="1">
      <alignment horizontal="center" vertical="center"/>
      <protection hidden="1"/>
    </xf>
    <xf numFmtId="0" fontId="24" fillId="9" borderId="48" xfId="0" applyNumberFormat="1" applyFont="1" applyFill="1" applyBorder="1" applyAlignment="1" applyProtection="1">
      <alignment horizontal="center" vertical="center"/>
      <protection hidden="1"/>
    </xf>
    <xf numFmtId="0" fontId="34" fillId="0" borderId="48" xfId="0" applyNumberFormat="1" applyFont="1" applyBorder="1" applyAlignment="1" applyProtection="1">
      <alignment horizontal="center" vertical="center"/>
      <protection hidden="1"/>
    </xf>
    <xf numFmtId="0" fontId="34" fillId="0" borderId="99" xfId="0" applyNumberFormat="1" applyFont="1" applyBorder="1" applyAlignment="1" applyProtection="1">
      <alignment horizontal="center" vertical="center"/>
      <protection hidden="1"/>
    </xf>
    <xf numFmtId="0" fontId="34" fillId="0" borderId="37" xfId="0" applyNumberFormat="1" applyFont="1" applyBorder="1" applyAlignment="1" applyProtection="1">
      <alignment horizontal="center" vertical="center"/>
      <protection hidden="1"/>
    </xf>
    <xf numFmtId="0" fontId="34" fillId="0" borderId="74" xfId="0" applyNumberFormat="1" applyFont="1" applyBorder="1" applyAlignment="1" applyProtection="1">
      <alignment horizontal="center" vertical="center"/>
      <protection hidden="1"/>
    </xf>
    <xf numFmtId="0" fontId="24" fillId="0" borderId="76" xfId="0" applyNumberFormat="1" applyFont="1" applyBorder="1" applyAlignment="1" applyProtection="1">
      <alignment horizontal="center" vertical="center"/>
      <protection hidden="1"/>
    </xf>
    <xf numFmtId="0" fontId="24" fillId="0" borderId="100" xfId="0" applyNumberFormat="1" applyFont="1" applyFill="1" applyBorder="1" applyAlignment="1" applyProtection="1">
      <alignment horizontal="center" vertical="center"/>
      <protection hidden="1"/>
    </xf>
    <xf numFmtId="0" fontId="24" fillId="9" borderId="79" xfId="0" applyNumberFormat="1" applyFont="1" applyFill="1" applyBorder="1" applyAlignment="1" applyProtection="1">
      <alignment horizontal="center" vertical="center"/>
      <protection hidden="1"/>
    </xf>
    <xf numFmtId="0" fontId="24" fillId="0" borderId="29" xfId="0" applyNumberFormat="1" applyFont="1" applyFill="1" applyBorder="1" applyAlignment="1" applyProtection="1">
      <alignment horizontal="center" vertical="center"/>
      <protection hidden="1"/>
    </xf>
    <xf numFmtId="0" fontId="24" fillId="0" borderId="91" xfId="0" applyNumberFormat="1" applyFont="1" applyFill="1" applyBorder="1" applyAlignment="1" applyProtection="1">
      <alignment horizontal="center" vertical="center"/>
      <protection hidden="1"/>
    </xf>
    <xf numFmtId="0" fontId="24" fillId="9" borderId="62" xfId="0" applyNumberFormat="1" applyFont="1" applyFill="1" applyBorder="1" applyAlignment="1" applyProtection="1">
      <alignment horizontal="center" vertical="center"/>
      <protection hidden="1"/>
    </xf>
    <xf numFmtId="0" fontId="24" fillId="0" borderId="101" xfId="0" applyFont="1" applyBorder="1" applyAlignment="1" applyProtection="1">
      <alignment horizontal="center" vertical="center"/>
      <protection hidden="1"/>
    </xf>
    <xf numFmtId="0" fontId="34" fillId="4" borderId="88" xfId="0" applyNumberFormat="1" applyFont="1" applyFill="1" applyBorder="1" applyAlignment="1" applyProtection="1">
      <alignment vertical="center"/>
      <protection hidden="1"/>
    </xf>
    <xf numFmtId="0" fontId="34" fillId="0" borderId="79" xfId="0" applyNumberFormat="1" applyFont="1" applyBorder="1" applyAlignment="1" applyProtection="1">
      <alignment vertical="center"/>
      <protection hidden="1"/>
    </xf>
    <xf numFmtId="0" fontId="34" fillId="0" borderId="100" xfId="0" applyNumberFormat="1" applyFont="1" applyBorder="1" applyAlignment="1" applyProtection="1">
      <alignment vertical="center"/>
      <protection hidden="1"/>
    </xf>
    <xf numFmtId="0" fontId="34" fillId="4" borderId="79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NumberFormat="1" applyFont="1" applyBorder="1" applyAlignment="1" applyProtection="1">
      <alignment horizontal="center" vertical="center"/>
      <protection hidden="1"/>
    </xf>
    <xf numFmtId="0" fontId="34" fillId="0" borderId="50" xfId="0" applyNumberFormat="1" applyFont="1" applyBorder="1" applyAlignment="1" applyProtection="1">
      <alignment horizontal="center" vertical="center"/>
      <protection hidden="1"/>
    </xf>
    <xf numFmtId="0" fontId="24" fillId="9" borderId="100" xfId="0" applyNumberFormat="1" applyFont="1" applyFill="1" applyBorder="1" applyAlignment="1" applyProtection="1">
      <alignment horizontal="center" vertical="center"/>
      <protection hidden="1"/>
    </xf>
    <xf numFmtId="0" fontId="24" fillId="0" borderId="79" xfId="0" applyNumberFormat="1" applyFont="1" applyFill="1" applyBorder="1" applyAlignment="1" applyProtection="1">
      <alignment horizontal="center" vertical="center"/>
      <protection hidden="1"/>
    </xf>
    <xf numFmtId="0" fontId="24" fillId="9" borderId="1" xfId="0" applyNumberFormat="1" applyFont="1" applyFill="1" applyBorder="1" applyAlignment="1" applyProtection="1">
      <alignment horizontal="center" vertical="center"/>
      <protection hidden="1"/>
    </xf>
    <xf numFmtId="0" fontId="24" fillId="0" borderId="74" xfId="0" applyNumberFormat="1" applyFont="1" applyFill="1" applyBorder="1" applyAlignment="1" applyProtection="1">
      <alignment horizontal="center" vertical="center"/>
      <protection hidden="1"/>
    </xf>
    <xf numFmtId="0" fontId="24" fillId="9" borderId="91" xfId="0" applyNumberFormat="1" applyFont="1" applyFill="1" applyBorder="1" applyAlignment="1" applyProtection="1">
      <alignment horizontal="center" vertical="center"/>
      <protection hidden="1"/>
    </xf>
    <xf numFmtId="0" fontId="24" fillId="0" borderId="62" xfId="0" applyNumberFormat="1" applyFont="1" applyFill="1" applyBorder="1" applyAlignment="1" applyProtection="1">
      <alignment horizontal="center" vertical="center"/>
      <protection hidden="1"/>
    </xf>
    <xf numFmtId="0" fontId="24" fillId="0" borderId="50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NumberFormat="1" applyFont="1" applyBorder="1" applyAlignment="1" applyProtection="1">
      <alignment vertical="center"/>
      <protection hidden="1"/>
    </xf>
    <xf numFmtId="0" fontId="64" fillId="0" borderId="0" xfId="4" applyFont="1" applyBorder="1" applyAlignment="1" applyProtection="1">
      <alignment horizontal="center" vertical="center"/>
      <protection hidden="1"/>
    </xf>
    <xf numFmtId="0" fontId="24" fillId="0" borderId="0" xfId="4" applyFont="1" applyBorder="1" applyAlignment="1" applyProtection="1">
      <alignment horizontal="center" vertical="center"/>
      <protection hidden="1"/>
    </xf>
    <xf numFmtId="0" fontId="58" fillId="0" borderId="0" xfId="4" applyFont="1" applyBorder="1" applyAlignment="1" applyProtection="1">
      <alignment horizontal="center" vertical="center"/>
      <protection hidden="1"/>
    </xf>
    <xf numFmtId="0" fontId="24" fillId="9" borderId="74" xfId="0" applyNumberFormat="1" applyFont="1" applyFill="1" applyBorder="1" applyAlignment="1" applyProtection="1">
      <alignment horizontal="center" vertical="center"/>
      <protection hidden="1"/>
    </xf>
    <xf numFmtId="0" fontId="24" fillId="9" borderId="88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1" xfId="0" applyNumberFormat="1" applyFont="1" applyFill="1" applyBorder="1" applyAlignment="1" applyProtection="1">
      <alignment horizontal="center" vertical="center"/>
      <protection hidden="1"/>
    </xf>
    <xf numFmtId="0" fontId="24" fillId="0" borderId="96" xfId="0" applyFont="1" applyBorder="1" applyAlignment="1" applyProtection="1">
      <alignment horizontal="center" vertical="center"/>
      <protection hidden="1"/>
    </xf>
    <xf numFmtId="0" fontId="24" fillId="0" borderId="102" xfId="0" applyNumberFormat="1" applyFont="1" applyFill="1" applyBorder="1" applyAlignment="1" applyProtection="1">
      <alignment horizontal="center" vertical="center"/>
      <protection hidden="1"/>
    </xf>
    <xf numFmtId="0" fontId="24" fillId="0" borderId="103" xfId="0" applyNumberFormat="1" applyFont="1" applyFill="1" applyBorder="1" applyAlignment="1" applyProtection="1">
      <alignment horizontal="center" vertical="center"/>
      <protection hidden="1"/>
    </xf>
    <xf numFmtId="0" fontId="24" fillId="9" borderId="104" xfId="0" applyNumberFormat="1" applyFont="1" applyFill="1" applyBorder="1" applyAlignment="1" applyProtection="1">
      <alignment horizontal="center" vertical="center"/>
      <protection hidden="1"/>
    </xf>
    <xf numFmtId="0" fontId="34" fillId="0" borderId="104" xfId="0" applyNumberFormat="1" applyFont="1" applyBorder="1" applyAlignment="1" applyProtection="1">
      <alignment horizontal="center" vertical="center"/>
      <protection hidden="1"/>
    </xf>
    <xf numFmtId="0" fontId="34" fillId="0" borderId="43" xfId="0" applyNumberFormat="1" applyFont="1" applyBorder="1" applyAlignment="1" applyProtection="1">
      <alignment horizontal="center" vertical="center"/>
      <protection hidden="1"/>
    </xf>
    <xf numFmtId="0" fontId="34" fillId="0" borderId="102" xfId="0" applyNumberFormat="1" applyFont="1" applyBorder="1" applyAlignment="1" applyProtection="1">
      <alignment vertical="center"/>
      <protection hidden="1"/>
    </xf>
    <xf numFmtId="0" fontId="34" fillId="0" borderId="103" xfId="0" applyNumberFormat="1" applyFont="1" applyBorder="1" applyAlignment="1" applyProtection="1">
      <alignment vertical="center"/>
      <protection hidden="1"/>
    </xf>
    <xf numFmtId="0" fontId="34" fillId="0" borderId="32" xfId="4" applyFont="1" applyBorder="1" applyAlignment="1" applyProtection="1">
      <alignment vertical="center"/>
      <protection hidden="1"/>
    </xf>
    <xf numFmtId="0" fontId="34" fillId="0" borderId="32" xfId="0" applyNumberFormat="1" applyFont="1" applyBorder="1" applyAlignment="1" applyProtection="1">
      <alignment vertical="center"/>
      <protection hidden="1"/>
    </xf>
    <xf numFmtId="0" fontId="34" fillId="0" borderId="105" xfId="4" applyFont="1" applyBorder="1" applyAlignment="1" applyProtection="1">
      <alignment vertical="center"/>
      <protection hidden="1"/>
    </xf>
    <xf numFmtId="0" fontId="34" fillId="0" borderId="106" xfId="4" applyFont="1" applyBorder="1" applyAlignment="1" applyProtection="1">
      <alignment vertical="center"/>
      <protection hidden="1"/>
    </xf>
    <xf numFmtId="0" fontId="24" fillId="0" borderId="107" xfId="0" applyNumberFormat="1" applyFont="1" applyBorder="1" applyAlignment="1" applyProtection="1">
      <alignment horizontal="center" vertical="center"/>
      <protection hidden="1"/>
    </xf>
    <xf numFmtId="0" fontId="24" fillId="0" borderId="42" xfId="0" applyNumberFormat="1" applyFont="1" applyBorder="1" applyAlignment="1" applyProtection="1">
      <alignment horizontal="center" vertical="center"/>
      <protection hidden="1"/>
    </xf>
    <xf numFmtId="0" fontId="24" fillId="0" borderId="104" xfId="0" applyNumberFormat="1" applyFont="1" applyBorder="1" applyAlignment="1" applyProtection="1">
      <alignment horizontal="center" vertical="center"/>
      <protection hidden="1"/>
    </xf>
    <xf numFmtId="0" fontId="24" fillId="0" borderId="29" xfId="0" applyNumberFormat="1" applyFont="1" applyBorder="1" applyAlignment="1" applyProtection="1">
      <alignment horizontal="center" vertical="center"/>
      <protection hidden="1"/>
    </xf>
    <xf numFmtId="166" fontId="63" fillId="0" borderId="70" xfId="0" applyNumberFormat="1" applyFont="1" applyBorder="1" applyAlignment="1" applyProtection="1">
      <alignment horizontal="center" vertical="center"/>
      <protection locked="0"/>
    </xf>
    <xf numFmtId="166" fontId="63" fillId="0" borderId="71" xfId="0" applyNumberFormat="1" applyFont="1" applyBorder="1" applyAlignment="1" applyProtection="1">
      <alignment horizontal="center" vertical="center"/>
      <protection locked="0"/>
    </xf>
    <xf numFmtId="166" fontId="63" fillId="0" borderId="77" xfId="0" applyNumberFormat="1" applyFont="1" applyBorder="1" applyAlignment="1" applyProtection="1">
      <alignment horizontal="center" vertical="center"/>
      <protection locked="0"/>
    </xf>
    <xf numFmtId="166" fontId="63" fillId="0" borderId="1" xfId="0" applyNumberFormat="1" applyFont="1" applyBorder="1" applyAlignment="1" applyProtection="1">
      <alignment horizontal="center" vertical="center"/>
      <protection locked="0"/>
    </xf>
    <xf numFmtId="0" fontId="34" fillId="0" borderId="78" xfId="0" applyNumberFormat="1" applyFont="1" applyBorder="1" applyAlignment="1" applyProtection="1">
      <alignment vertical="center"/>
      <protection hidden="1"/>
    </xf>
    <xf numFmtId="0" fontId="34" fillId="0" borderId="78" xfId="0" applyNumberFormat="1" applyFont="1" applyBorder="1" applyAlignment="1" applyProtection="1">
      <alignment horizontal="center" vertical="center"/>
      <protection hidden="1"/>
    </xf>
    <xf numFmtId="0" fontId="66" fillId="4" borderId="0" xfId="8" applyFont="1" applyFill="1" applyAlignment="1" applyProtection="1">
      <alignment vertical="center"/>
      <protection hidden="1"/>
    </xf>
    <xf numFmtId="0" fontId="21" fillId="0" borderId="0" xfId="8" applyFont="1" applyBorder="1" applyAlignment="1" applyProtection="1">
      <alignment horizontal="center" vertical="center"/>
      <protection hidden="1"/>
    </xf>
    <xf numFmtId="0" fontId="19" fillId="4" borderId="0" xfId="8" applyFont="1" applyFill="1" applyAlignment="1" applyProtection="1">
      <alignment horizontal="center" vertical="center"/>
      <protection hidden="1"/>
    </xf>
    <xf numFmtId="0" fontId="48" fillId="4" borderId="0" xfId="8" applyFont="1" applyFill="1" applyAlignment="1" applyProtection="1">
      <alignment vertical="center"/>
      <protection hidden="1"/>
    </xf>
    <xf numFmtId="0" fontId="48" fillId="4" borderId="0" xfId="8" applyFont="1" applyFill="1" applyAlignment="1" applyProtection="1">
      <alignment horizontal="center" vertical="center"/>
      <protection hidden="1"/>
    </xf>
    <xf numFmtId="0" fontId="48" fillId="4" borderId="6" xfId="8" applyFont="1" applyFill="1" applyBorder="1" applyAlignment="1" applyProtection="1">
      <alignment horizontal="centerContinuous" vertical="center"/>
      <protection hidden="1"/>
    </xf>
    <xf numFmtId="0" fontId="21" fillId="4" borderId="11" xfId="8" applyFont="1" applyFill="1" applyBorder="1" applyAlignment="1" applyProtection="1">
      <alignment horizontal="centerContinuous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/>
      <protection hidden="1"/>
    </xf>
    <xf numFmtId="0" fontId="21" fillId="4" borderId="15" xfId="8" applyFont="1" applyFill="1" applyBorder="1" applyAlignment="1" applyProtection="1">
      <alignment vertical="center"/>
      <protection hidden="1"/>
    </xf>
    <xf numFmtId="0" fontId="21" fillId="4" borderId="0" xfId="8" applyFont="1" applyFill="1" applyBorder="1" applyAlignment="1" applyProtection="1">
      <alignment vertical="center"/>
      <protection hidden="1"/>
    </xf>
    <xf numFmtId="0" fontId="21" fillId="4" borderId="16" xfId="8" applyFont="1" applyFill="1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Continuous" vertical="center"/>
      <protection hidden="1"/>
    </xf>
    <xf numFmtId="0" fontId="51" fillId="0" borderId="0" xfId="0" applyFont="1" applyFill="1" applyBorder="1" applyAlignment="1" applyProtection="1">
      <alignment horizontal="centerContinuous" vertical="center"/>
      <protection hidden="1"/>
    </xf>
    <xf numFmtId="0" fontId="67" fillId="0" borderId="0" xfId="0" applyFont="1" applyFill="1" applyBorder="1" applyAlignment="1" applyProtection="1">
      <alignment horizontal="centerContinuous" vertical="center"/>
      <protection hidden="1"/>
    </xf>
    <xf numFmtId="0" fontId="25" fillId="0" borderId="0" xfId="0" applyFont="1" applyAlignment="1" applyProtection="1">
      <alignment horizontal="centerContinuous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67" fillId="4" borderId="0" xfId="8" applyFont="1" applyFill="1" applyAlignment="1" applyProtection="1">
      <alignment vertical="center"/>
      <protection hidden="1"/>
    </xf>
    <xf numFmtId="0" fontId="66" fillId="4" borderId="0" xfId="8" applyFont="1" applyFill="1" applyAlignment="1" applyProtection="1">
      <alignment horizontal="center" vertical="center"/>
      <protection hidden="1"/>
    </xf>
    <xf numFmtId="0" fontId="66" fillId="4" borderId="15" xfId="8" applyFont="1" applyFill="1" applyBorder="1" applyAlignment="1" applyProtection="1">
      <alignment vertical="center"/>
      <protection hidden="1"/>
    </xf>
    <xf numFmtId="0" fontId="66" fillId="4" borderId="0" xfId="8" applyFont="1" applyFill="1" applyBorder="1" applyAlignment="1" applyProtection="1">
      <alignment vertical="center"/>
      <protection hidden="1"/>
    </xf>
    <xf numFmtId="0" fontId="25" fillId="4" borderId="16" xfId="8" applyFont="1" applyFill="1" applyBorder="1" applyAlignment="1" applyProtection="1">
      <alignment horizontal="center" vertical="center"/>
      <protection hidden="1"/>
    </xf>
    <xf numFmtId="0" fontId="25" fillId="4" borderId="6" xfId="8" applyFont="1" applyFill="1" applyBorder="1" applyAlignment="1" applyProtection="1">
      <alignment horizontal="centerContinuous" vertical="center"/>
      <protection hidden="1"/>
    </xf>
    <xf numFmtId="0" fontId="25" fillId="4" borderId="11" xfId="8" applyFont="1" applyFill="1" applyBorder="1" applyAlignment="1" applyProtection="1">
      <alignment horizontal="centerContinuous" vertical="center"/>
      <protection hidden="1"/>
    </xf>
    <xf numFmtId="0" fontId="21" fillId="4" borderId="0" xfId="8" applyFont="1" applyFill="1" applyAlignment="1" applyProtection="1">
      <alignment vertical="center"/>
      <protection hidden="1"/>
    </xf>
    <xf numFmtId="0" fontId="21" fillId="4" borderId="17" xfId="8" applyFont="1" applyFill="1" applyBorder="1" applyAlignment="1" applyProtection="1">
      <alignment vertical="center"/>
      <protection hidden="1"/>
    </xf>
    <xf numFmtId="0" fontId="21" fillId="4" borderId="18" xfId="8" applyFont="1" applyFill="1" applyBorder="1" applyAlignment="1" applyProtection="1">
      <alignment vertical="center"/>
      <protection hidden="1"/>
    </xf>
    <xf numFmtId="0" fontId="21" fillId="4" borderId="19" xfId="8" applyFont="1" applyFill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/>
      <protection hidden="1"/>
    </xf>
    <xf numFmtId="0" fontId="30" fillId="0" borderId="22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68" fillId="4" borderId="0" xfId="8" applyFont="1" applyFill="1" applyAlignment="1" applyProtection="1">
      <alignment vertical="center"/>
      <protection hidden="1"/>
    </xf>
    <xf numFmtId="0" fontId="68" fillId="0" borderId="0" xfId="8" applyFont="1" applyBorder="1" applyAlignment="1" applyProtection="1">
      <alignment vertical="center"/>
      <protection hidden="1"/>
    </xf>
    <xf numFmtId="0" fontId="68" fillId="0" borderId="0" xfId="8" applyFont="1" applyBorder="1" applyAlignment="1" applyProtection="1">
      <alignment horizontal="centerContinuous" vertical="center"/>
      <protection hidden="1"/>
    </xf>
    <xf numFmtId="0" fontId="68" fillId="0" borderId="0" xfId="8" applyFont="1" applyBorder="1" applyAlignment="1" applyProtection="1">
      <alignment horizontal="center" vertical="center"/>
      <protection hidden="1"/>
    </xf>
    <xf numFmtId="0" fontId="68" fillId="4" borderId="6" xfId="8" applyFont="1" applyFill="1" applyBorder="1" applyAlignment="1" applyProtection="1">
      <alignment horizontal="centerContinuous" vertical="center"/>
      <protection hidden="1"/>
    </xf>
    <xf numFmtId="0" fontId="68" fillId="4" borderId="7" xfId="8" applyFont="1" applyFill="1" applyBorder="1" applyAlignment="1" applyProtection="1">
      <alignment horizontal="centerContinuous" vertical="center"/>
      <protection hidden="1"/>
    </xf>
    <xf numFmtId="0" fontId="57" fillId="4" borderId="4" xfId="8" applyFont="1" applyFill="1" applyBorder="1" applyAlignment="1" applyProtection="1">
      <alignment horizontal="center" vertical="center"/>
      <protection hidden="1"/>
    </xf>
    <xf numFmtId="0" fontId="57" fillId="4" borderId="0" xfId="8" applyFont="1" applyFill="1" applyAlignment="1" applyProtection="1">
      <alignment horizontal="center" vertical="center"/>
      <protection hidden="1"/>
    </xf>
    <xf numFmtId="0" fontId="68" fillId="4" borderId="0" xfId="8" applyFont="1" applyFill="1" applyAlignment="1" applyProtection="1">
      <alignment horizontal="center" vertical="center"/>
      <protection hidden="1"/>
    </xf>
    <xf numFmtId="0" fontId="68" fillId="4" borderId="8" xfId="8" applyFont="1" applyFill="1" applyBorder="1" applyAlignment="1" applyProtection="1">
      <alignment vertical="center"/>
      <protection hidden="1"/>
    </xf>
    <xf numFmtId="0" fontId="68" fillId="4" borderId="9" xfId="8" applyFont="1" applyFill="1" applyBorder="1" applyAlignment="1" applyProtection="1">
      <alignment vertical="center"/>
      <protection hidden="1"/>
    </xf>
    <xf numFmtId="0" fontId="68" fillId="4" borderId="10" xfId="8" applyFont="1" applyFill="1" applyBorder="1" applyAlignment="1" applyProtection="1">
      <alignment horizontal="center" vertical="center"/>
      <protection hidden="1"/>
    </xf>
    <xf numFmtId="0" fontId="68" fillId="4" borderId="11" xfId="8" applyFont="1" applyFill="1" applyBorder="1" applyAlignment="1" applyProtection="1">
      <alignment horizontal="centerContinuous" vertical="center"/>
      <protection hidden="1"/>
    </xf>
    <xf numFmtId="0" fontId="57" fillId="0" borderId="12" xfId="0" applyFont="1" applyBorder="1" applyAlignment="1" applyProtection="1">
      <alignment horizontal="center" vertical="center"/>
      <protection hidden="1"/>
    </xf>
    <xf numFmtId="0" fontId="57" fillId="0" borderId="13" xfId="0" applyFont="1" applyBorder="1" applyAlignment="1" applyProtection="1">
      <alignment horizontal="center" vertical="center"/>
      <protection hidden="1"/>
    </xf>
    <xf numFmtId="0" fontId="57" fillId="0" borderId="14" xfId="0" applyFont="1" applyBorder="1" applyAlignment="1" applyProtection="1">
      <alignment horizontal="center" vertical="center"/>
      <protection hidden="1"/>
    </xf>
    <xf numFmtId="0" fontId="68" fillId="4" borderId="15" xfId="8" applyFont="1" applyFill="1" applyBorder="1" applyAlignment="1" applyProtection="1">
      <alignment vertical="center"/>
      <protection hidden="1"/>
    </xf>
    <xf numFmtId="0" fontId="68" fillId="4" borderId="0" xfId="8" applyFont="1" applyFill="1" applyBorder="1" applyAlignment="1" applyProtection="1">
      <alignment vertical="center"/>
      <protection hidden="1"/>
    </xf>
    <xf numFmtId="0" fontId="68" fillId="4" borderId="16" xfId="8" applyFont="1" applyFill="1" applyBorder="1" applyAlignment="1" applyProtection="1">
      <alignment horizontal="center" vertical="center"/>
      <protection hidden="1"/>
    </xf>
    <xf numFmtId="171" fontId="24" fillId="0" borderId="0" xfId="0" applyNumberFormat="1" applyFont="1" applyBorder="1" applyAlignment="1" applyProtection="1">
      <alignment horizontal="center" vertical="center"/>
      <protection hidden="1"/>
    </xf>
    <xf numFmtId="0" fontId="70" fillId="0" borderId="0" xfId="0" applyFont="1" applyBorder="1" applyAlignment="1" applyProtection="1">
      <alignment horizontal="center" vertical="center"/>
      <protection hidden="1"/>
    </xf>
    <xf numFmtId="0" fontId="70" fillId="0" borderId="0" xfId="0" applyFont="1" applyAlignment="1" applyProtection="1">
      <alignment vertical="center"/>
      <protection hidden="1"/>
    </xf>
    <xf numFmtId="0" fontId="70" fillId="0" borderId="0" xfId="0" applyFont="1" applyBorder="1" applyAlignment="1" applyProtection="1">
      <alignment horizontal="left" vertical="center"/>
      <protection hidden="1"/>
    </xf>
    <xf numFmtId="0" fontId="70" fillId="0" borderId="0" xfId="0" applyFont="1" applyBorder="1" applyAlignment="1" applyProtection="1">
      <alignment vertical="center"/>
      <protection hidden="1"/>
    </xf>
    <xf numFmtId="0" fontId="68" fillId="0" borderId="0" xfId="0" applyFont="1" applyBorder="1" applyAlignment="1" applyProtection="1">
      <alignment horizontal="center" vertical="center"/>
      <protection hidden="1"/>
    </xf>
    <xf numFmtId="0" fontId="68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71" fillId="0" borderId="0" xfId="5" applyFont="1" applyAlignment="1" applyProtection="1">
      <alignment horizontal="right" vertical="center"/>
      <protection hidden="1"/>
    </xf>
    <xf numFmtId="0" fontId="34" fillId="0" borderId="0" xfId="0" applyFont="1" applyAlignment="1" applyProtection="1">
      <alignment vertical="center"/>
    </xf>
    <xf numFmtId="0" fontId="3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vertical="center"/>
    </xf>
    <xf numFmtId="0" fontId="34" fillId="0" borderId="0" xfId="0" applyFont="1" applyBorder="1" applyAlignment="1" applyProtection="1">
      <alignment vertical="center"/>
    </xf>
    <xf numFmtId="0" fontId="24" fillId="0" borderId="0" xfId="0" quotePrefix="1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right" vertical="center"/>
    </xf>
    <xf numFmtId="0" fontId="34" fillId="0" borderId="0" xfId="0" applyFont="1" applyBorder="1" applyAlignment="1" applyProtection="1">
      <alignment horizontal="center" vertical="center"/>
    </xf>
    <xf numFmtId="168" fontId="24" fillId="0" borderId="0" xfId="0" applyNumberFormat="1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24" fillId="0" borderId="18" xfId="0" applyFont="1" applyBorder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34" fillId="0" borderId="18" xfId="0" applyFont="1" applyBorder="1" applyAlignment="1" applyProtection="1">
      <alignment vertical="center"/>
    </xf>
    <xf numFmtId="0" fontId="24" fillId="0" borderId="64" xfId="0" applyFont="1" applyFill="1" applyBorder="1" applyAlignment="1" applyProtection="1">
      <alignment horizontal="center" vertical="center"/>
    </xf>
    <xf numFmtId="0" fontId="34" fillId="0" borderId="18" xfId="0" applyFont="1" applyBorder="1" applyAlignment="1" applyProtection="1">
      <alignment horizontal="center" vertical="center"/>
    </xf>
    <xf numFmtId="0" fontId="34" fillId="0" borderId="4" xfId="0" applyFont="1" applyBorder="1" applyAlignment="1" applyProtection="1">
      <alignment horizontal="center" vertical="center"/>
    </xf>
    <xf numFmtId="0" fontId="34" fillId="0" borderId="7" xfId="0" applyFont="1" applyBorder="1" applyAlignment="1" applyProtection="1">
      <alignment horizontal="center" vertical="center"/>
    </xf>
    <xf numFmtId="0" fontId="34" fillId="0" borderId="18" xfId="0" applyFont="1" applyBorder="1" applyAlignment="1" applyProtection="1">
      <alignment horizontal="left" vertical="center"/>
    </xf>
    <xf numFmtId="0" fontId="24" fillId="5" borderId="17" xfId="0" applyFont="1" applyFill="1" applyBorder="1" applyAlignment="1" applyProtection="1">
      <alignment horizontal="center" vertical="center"/>
    </xf>
    <xf numFmtId="0" fontId="24" fillId="5" borderId="65" xfId="0" applyFont="1" applyFill="1" applyBorder="1" applyAlignment="1" applyProtection="1">
      <alignment horizontal="center" vertical="center"/>
    </xf>
    <xf numFmtId="0" fontId="24" fillId="5" borderId="66" xfId="0" applyFont="1" applyFill="1" applyBorder="1" applyAlignment="1" applyProtection="1">
      <alignment horizontal="center" vertical="center"/>
    </xf>
    <xf numFmtId="0" fontId="24" fillId="5" borderId="18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/>
    </xf>
    <xf numFmtId="0" fontId="24" fillId="0" borderId="65" xfId="0" applyFont="1" applyBorder="1" applyAlignment="1" applyProtection="1">
      <alignment horizontal="center" vertical="center"/>
    </xf>
    <xf numFmtId="0" fontId="24" fillId="0" borderId="67" xfId="0" applyFont="1" applyBorder="1" applyAlignment="1" applyProtection="1">
      <alignment horizontal="center" vertical="center"/>
    </xf>
    <xf numFmtId="0" fontId="24" fillId="0" borderId="68" xfId="0" applyFont="1" applyBorder="1" applyAlignment="1" applyProtection="1">
      <alignment horizontal="center" vertical="center"/>
    </xf>
    <xf numFmtId="0" fontId="33" fillId="3" borderId="67" xfId="0" applyFont="1" applyFill="1" applyBorder="1" applyAlignment="1" applyProtection="1">
      <alignment horizontal="center" vertical="center"/>
    </xf>
    <xf numFmtId="20" fontId="33" fillId="0" borderId="69" xfId="0" applyNumberFormat="1" applyFont="1" applyBorder="1" applyAlignment="1" applyProtection="1">
      <alignment horizontal="center" vertical="center"/>
    </xf>
    <xf numFmtId="0" fontId="33" fillId="0" borderId="69" xfId="0" applyFont="1" applyBorder="1" applyAlignment="1" applyProtection="1">
      <alignment horizontal="center" vertical="center"/>
    </xf>
    <xf numFmtId="0" fontId="34" fillId="0" borderId="67" xfId="0" applyFont="1" applyBorder="1" applyAlignment="1" applyProtection="1">
      <alignment horizontal="center" vertical="center"/>
    </xf>
    <xf numFmtId="0" fontId="24" fillId="8" borderId="71" xfId="0" applyFont="1" applyFill="1" applyBorder="1" applyAlignment="1" applyProtection="1">
      <alignment horizontal="center" vertical="center"/>
    </xf>
    <xf numFmtId="0" fontId="24" fillId="0" borderId="74" xfId="0" applyFont="1" applyBorder="1" applyAlignment="1" applyProtection="1">
      <alignment horizontal="center" vertical="center"/>
    </xf>
    <xf numFmtId="0" fontId="24" fillId="0" borderId="75" xfId="0" applyFont="1" applyBorder="1" applyAlignment="1" applyProtection="1">
      <alignment horizontal="center" vertical="center"/>
    </xf>
    <xf numFmtId="0" fontId="33" fillId="3" borderId="74" xfId="0" applyFont="1" applyFill="1" applyBorder="1" applyAlignment="1" applyProtection="1">
      <alignment horizontal="center" vertical="center"/>
    </xf>
    <xf numFmtId="20" fontId="33" fillId="0" borderId="76" xfId="0" applyNumberFormat="1" applyFont="1" applyBorder="1" applyAlignment="1" applyProtection="1">
      <alignment horizontal="center" vertical="center"/>
    </xf>
    <xf numFmtId="0" fontId="33" fillId="0" borderId="76" xfId="0" applyFont="1" applyBorder="1" applyAlignment="1" applyProtection="1">
      <alignment horizontal="center" vertical="center"/>
    </xf>
    <xf numFmtId="0" fontId="34" fillId="0" borderId="74" xfId="0" applyFont="1" applyBorder="1" applyAlignment="1" applyProtection="1">
      <alignment horizontal="center" vertical="center"/>
    </xf>
    <xf numFmtId="0" fontId="24" fillId="8" borderId="1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/>
    </xf>
    <xf numFmtId="0" fontId="50" fillId="0" borderId="0" xfId="0" applyFont="1" applyBorder="1" applyAlignment="1" applyProtection="1">
      <alignment vertical="center"/>
    </xf>
    <xf numFmtId="0" fontId="43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  <protection locked="0" hidden="1"/>
    </xf>
    <xf numFmtId="0" fontId="21" fillId="0" borderId="0" xfId="0" applyFont="1" applyFill="1" applyBorder="1" applyAlignment="1" applyProtection="1">
      <alignment horizontal="center" vertical="center"/>
      <protection locked="0" hidden="1"/>
    </xf>
    <xf numFmtId="0" fontId="48" fillId="0" borderId="0" xfId="8" applyFont="1" applyAlignment="1" applyProtection="1">
      <alignment vertical="center"/>
      <protection locked="0" hidden="1"/>
    </xf>
    <xf numFmtId="0" fontId="40" fillId="0" borderId="0" xfId="0" applyFont="1" applyAlignment="1" applyProtection="1">
      <alignment horizontal="centerContinuous" vertical="center"/>
    </xf>
    <xf numFmtId="0" fontId="44" fillId="0" borderId="63" xfId="0" applyFont="1" applyFill="1" applyBorder="1" applyAlignment="1" applyProtection="1">
      <alignment horizontal="center" vertical="center"/>
    </xf>
    <xf numFmtId="0" fontId="44" fillId="0" borderId="108" xfId="0" applyFont="1" applyFill="1" applyBorder="1" applyAlignment="1" applyProtection="1">
      <alignment horizontal="center" vertical="center"/>
    </xf>
    <xf numFmtId="0" fontId="44" fillId="0" borderId="108" xfId="10" applyFont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110" xfId="0" applyFont="1" applyFill="1" applyBorder="1" applyAlignment="1" applyProtection="1">
      <alignment horizontal="left" vertical="center"/>
    </xf>
    <xf numFmtId="0" fontId="21" fillId="0" borderId="79" xfId="1" applyFont="1" applyBorder="1" applyAlignment="1" applyProtection="1">
      <alignment horizontal="right" vertical="center"/>
    </xf>
    <xf numFmtId="0" fontId="21" fillId="0" borderId="128" xfId="1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54" fillId="0" borderId="0" xfId="0" applyFont="1" applyBorder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left" vertical="center"/>
      <protection hidden="1"/>
    </xf>
    <xf numFmtId="0" fontId="68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</xf>
    <xf numFmtId="0" fontId="73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Alignment="1" applyProtection="1">
      <alignment horizontal="centerContinuous" vertical="center"/>
      <protection hidden="1"/>
    </xf>
    <xf numFmtId="0" fontId="48" fillId="0" borderId="88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Continuous" vertical="center"/>
      <protection hidden="1"/>
    </xf>
    <xf numFmtId="0" fontId="21" fillId="10" borderId="47" xfId="8" applyFont="1" applyFill="1" applyBorder="1" applyAlignment="1" applyProtection="1">
      <alignment horizontal="center" vertical="center"/>
      <protection hidden="1"/>
    </xf>
    <xf numFmtId="0" fontId="48" fillId="0" borderId="93" xfId="10" applyFont="1" applyBorder="1" applyAlignment="1" applyProtection="1">
      <alignment horizontal="left" vertical="center"/>
      <protection hidden="1"/>
    </xf>
    <xf numFmtId="0" fontId="23" fillId="0" borderId="63" xfId="0" applyFont="1" applyFill="1" applyBorder="1" applyAlignment="1" applyProtection="1">
      <alignment horizontal="left" vertical="center"/>
      <protection hidden="1"/>
    </xf>
    <xf numFmtId="0" fontId="35" fillId="0" borderId="63" xfId="0" applyFont="1" applyFill="1" applyBorder="1" applyAlignment="1" applyProtection="1">
      <alignment horizontal="left" vertical="center"/>
    </xf>
    <xf numFmtId="0" fontId="48" fillId="0" borderId="93" xfId="10" applyFont="1" applyBorder="1" applyAlignment="1" applyProtection="1">
      <alignment vertical="center"/>
      <protection hidden="1"/>
    </xf>
    <xf numFmtId="0" fontId="35" fillId="0" borderId="63" xfId="0" applyFont="1" applyFill="1" applyBorder="1" applyAlignment="1" applyProtection="1">
      <alignment horizontal="right" vertical="center"/>
    </xf>
    <xf numFmtId="0" fontId="23" fillId="0" borderId="108" xfId="0" applyFont="1" applyFill="1" applyBorder="1" applyAlignment="1" applyProtection="1">
      <alignment horizontal="right" vertical="center"/>
      <protection hidden="1"/>
    </xf>
    <xf numFmtId="0" fontId="21" fillId="10" borderId="97" xfId="0" applyFont="1" applyFill="1" applyBorder="1" applyAlignment="1" applyProtection="1">
      <alignment horizontal="center" vertical="center"/>
      <protection hidden="1"/>
    </xf>
    <xf numFmtId="0" fontId="74" fillId="0" borderId="108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right" vertical="center"/>
    </xf>
    <xf numFmtId="0" fontId="21" fillId="0" borderId="101" xfId="0" applyFont="1" applyFill="1" applyBorder="1" applyAlignment="1" applyProtection="1">
      <alignment horizontal="right" vertical="center"/>
      <protection hidden="1"/>
    </xf>
    <xf numFmtId="0" fontId="45" fillId="0" borderId="48" xfId="0" applyFont="1" applyFill="1" applyBorder="1" applyAlignment="1" applyProtection="1">
      <alignment horizontal="centerContinuous" vertical="center"/>
    </xf>
    <xf numFmtId="0" fontId="45" fillId="0" borderId="101" xfId="0" applyFont="1" applyFill="1" applyBorder="1" applyAlignment="1" applyProtection="1">
      <alignment horizontal="center" vertical="center"/>
    </xf>
    <xf numFmtId="0" fontId="21" fillId="10" borderId="93" xfId="0" applyFont="1" applyFill="1" applyBorder="1" applyAlignment="1" applyProtection="1">
      <alignment horizontal="center" vertical="center"/>
      <protection hidden="1"/>
    </xf>
    <xf numFmtId="0" fontId="23" fillId="0" borderId="63" xfId="0" applyFont="1" applyFill="1" applyBorder="1" applyAlignment="1" applyProtection="1">
      <alignment vertical="center"/>
      <protection hidden="1"/>
    </xf>
    <xf numFmtId="0" fontId="23" fillId="0" borderId="108" xfId="0" applyFont="1" applyFill="1" applyBorder="1" applyAlignment="1" applyProtection="1">
      <alignment horizontal="right" vertical="center"/>
    </xf>
    <xf numFmtId="0" fontId="48" fillId="0" borderId="93" xfId="10" applyFont="1" applyBorder="1" applyAlignment="1" applyProtection="1">
      <alignment horizontal="centerContinuous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63" xfId="0" applyFont="1" applyBorder="1" applyAlignment="1" applyProtection="1">
      <alignment horizontal="center" vertical="center"/>
      <protection hidden="1"/>
    </xf>
    <xf numFmtId="0" fontId="23" fillId="0" borderId="101" xfId="0" applyFont="1" applyFill="1" applyBorder="1" applyAlignment="1" applyProtection="1">
      <alignment horizontal="right" vertical="center"/>
    </xf>
    <xf numFmtId="0" fontId="34" fillId="0" borderId="0" xfId="0" applyFont="1" applyFill="1" applyAlignment="1" applyProtection="1">
      <alignment horizontal="center" vertical="center"/>
      <protection hidden="1"/>
    </xf>
    <xf numFmtId="0" fontId="21" fillId="10" borderId="1" xfId="8" applyFont="1" applyFill="1" applyBorder="1" applyAlignment="1" applyProtection="1">
      <alignment horizontal="center" vertical="center"/>
      <protection hidden="1"/>
    </xf>
    <xf numFmtId="0" fontId="74" fillId="0" borderId="63" xfId="0" applyFont="1" applyFill="1" applyBorder="1" applyAlignment="1" applyProtection="1">
      <alignment vertical="center"/>
    </xf>
    <xf numFmtId="0" fontId="48" fillId="0" borderId="0" xfId="0" applyFont="1" applyFill="1" applyAlignment="1" applyProtection="1">
      <alignment horizontal="center" vertical="center"/>
      <protection hidden="1"/>
    </xf>
    <xf numFmtId="0" fontId="41" fillId="0" borderId="0" xfId="0" applyFont="1" applyFill="1" applyAlignment="1" applyProtection="1">
      <alignment vertical="center"/>
      <protection hidden="1"/>
    </xf>
    <xf numFmtId="0" fontId="47" fillId="0" borderId="0" xfId="0" applyFont="1" applyFill="1" applyAlignment="1" applyProtection="1">
      <alignment horizontal="right" vertical="center"/>
      <protection hidden="1"/>
    </xf>
    <xf numFmtId="0" fontId="45" fillId="0" borderId="109" xfId="0" applyFont="1" applyFill="1" applyBorder="1" applyAlignment="1" applyProtection="1">
      <alignment horizontal="center" vertical="center"/>
    </xf>
    <xf numFmtId="0" fontId="45" fillId="0" borderId="115" xfId="0" quotePrefix="1" applyFont="1" applyFill="1" applyBorder="1" applyAlignment="1" applyProtection="1">
      <alignment horizontal="center" vertical="center"/>
    </xf>
    <xf numFmtId="0" fontId="47" fillId="0" borderId="116" xfId="0" applyFont="1" applyFill="1" applyBorder="1" applyAlignment="1" applyProtection="1">
      <alignment horizontal="right" vertical="center"/>
      <protection hidden="1"/>
    </xf>
    <xf numFmtId="0" fontId="45" fillId="0" borderId="109" xfId="0" quotePrefix="1" applyFont="1" applyFill="1" applyBorder="1" applyAlignment="1" applyProtection="1">
      <alignment horizontal="center" vertical="center"/>
    </xf>
    <xf numFmtId="0" fontId="21" fillId="0" borderId="116" xfId="0" applyFont="1" applyFill="1" applyBorder="1" applyAlignment="1" applyProtection="1">
      <alignment vertical="center"/>
      <protection hidden="1"/>
    </xf>
    <xf numFmtId="0" fontId="45" fillId="0" borderId="110" xfId="0" applyFont="1" applyFill="1" applyBorder="1" applyAlignment="1" applyProtection="1">
      <alignment horizontal="center" vertical="center"/>
    </xf>
    <xf numFmtId="0" fontId="21" fillId="0" borderId="63" xfId="0" applyFont="1" applyFill="1" applyBorder="1" applyAlignment="1" applyProtection="1">
      <alignment horizontal="right" vertical="center"/>
      <protection hidden="1"/>
    </xf>
    <xf numFmtId="0" fontId="23" fillId="0" borderId="63" xfId="0" applyFont="1" applyFill="1" applyBorder="1" applyAlignment="1" applyProtection="1">
      <alignment horizontal="right" vertical="center"/>
    </xf>
    <xf numFmtId="0" fontId="45" fillId="0" borderId="108" xfId="0" applyFont="1" applyFill="1" applyBorder="1" applyAlignment="1" applyProtection="1">
      <alignment horizontal="right" vertical="center"/>
      <protection hidden="1"/>
    </xf>
    <xf numFmtId="0" fontId="48" fillId="0" borderId="117" xfId="0" applyFont="1" applyBorder="1" applyAlignment="1" applyProtection="1">
      <alignment horizontal="center" vertical="center"/>
      <protection locked="0" hidden="1"/>
    </xf>
    <xf numFmtId="0" fontId="48" fillId="0" borderId="118" xfId="0" applyFont="1" applyBorder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1" fillId="0" borderId="119" xfId="0" applyFont="1" applyBorder="1" applyAlignment="1" applyProtection="1">
      <alignment horizontal="centerContinuous" vertical="center"/>
      <protection locked="0" hidden="1"/>
    </xf>
    <xf numFmtId="0" fontId="21" fillId="0" borderId="120" xfId="0" applyFont="1" applyBorder="1" applyAlignment="1" applyProtection="1">
      <alignment horizontal="centerContinuous" vertical="center"/>
      <protection locked="0" hidden="1"/>
    </xf>
    <xf numFmtId="0" fontId="21" fillId="4" borderId="117" xfId="0" applyFont="1" applyFill="1" applyBorder="1" applyAlignment="1" applyProtection="1">
      <alignment horizontal="center" vertical="center"/>
      <protection locked="0" hidden="1"/>
    </xf>
    <xf numFmtId="0" fontId="21" fillId="4" borderId="121" xfId="0" applyFont="1" applyFill="1" applyBorder="1" applyAlignment="1" applyProtection="1">
      <alignment horizontal="center" vertical="center"/>
      <protection locked="0" hidden="1"/>
    </xf>
    <xf numFmtId="0" fontId="21" fillId="4" borderId="121" xfId="0" applyFont="1" applyFill="1" applyBorder="1" applyAlignment="1" applyProtection="1">
      <alignment horizontal="center" vertical="center"/>
      <protection locked="0"/>
    </xf>
    <xf numFmtId="0" fontId="21" fillId="4" borderId="118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right" vertical="center"/>
      <protection hidden="1"/>
    </xf>
    <xf numFmtId="0" fontId="45" fillId="0" borderId="109" xfId="0" applyFont="1" applyBorder="1" applyAlignment="1" applyProtection="1">
      <alignment horizontal="center" vertical="center"/>
    </xf>
    <xf numFmtId="0" fontId="21" fillId="2" borderId="122" xfId="0" applyFont="1" applyFill="1" applyBorder="1" applyAlignment="1" applyProtection="1">
      <alignment horizontal="centerContinuous" vertical="center"/>
      <protection locked="0" hidden="1"/>
    </xf>
    <xf numFmtId="0" fontId="21" fillId="4" borderId="0" xfId="0" applyFont="1" applyFill="1" applyBorder="1" applyAlignment="1" applyProtection="1">
      <alignment horizontal="centerContinuous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45" fillId="0" borderId="115" xfId="0" applyFont="1" applyBorder="1" applyAlignment="1" applyProtection="1">
      <alignment horizontal="center" vertical="center"/>
    </xf>
    <xf numFmtId="0" fontId="21" fillId="2" borderId="123" xfId="0" applyFont="1" applyFill="1" applyBorder="1" applyAlignment="1" applyProtection="1">
      <alignment horizontal="centerContinuous" vertical="center"/>
      <protection locked="0" hidden="1"/>
    </xf>
    <xf numFmtId="0" fontId="21" fillId="4" borderId="124" xfId="0" applyFont="1" applyFill="1" applyBorder="1" applyAlignment="1" applyProtection="1">
      <alignment horizontal="centerContinuous" vertical="center"/>
      <protection locked="0" hidden="1"/>
    </xf>
    <xf numFmtId="0" fontId="21" fillId="0" borderId="20" xfId="0" applyFont="1" applyBorder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center" vertical="center"/>
      <protection locked="0" hidden="1"/>
    </xf>
    <xf numFmtId="0" fontId="72" fillId="0" borderId="1" xfId="8" applyFont="1" applyBorder="1" applyAlignment="1" applyProtection="1">
      <alignment horizontal="center" vertical="center"/>
      <protection locked="0"/>
    </xf>
    <xf numFmtId="0" fontId="21" fillId="11" borderId="0" xfId="0" applyFont="1" applyFill="1" applyBorder="1" applyAlignment="1" applyProtection="1">
      <alignment horizontal="center" vertical="center"/>
      <protection locked="0"/>
    </xf>
    <xf numFmtId="0" fontId="21" fillId="11" borderId="93" xfId="0" applyFont="1" applyFill="1" applyBorder="1" applyAlignment="1" applyProtection="1">
      <alignment horizontal="center" vertical="center"/>
      <protection locked="0"/>
    </xf>
    <xf numFmtId="0" fontId="21" fillId="11" borderId="97" xfId="0" applyFont="1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 applyProtection="1">
      <alignment horizontal="center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1" xfId="6" applyFont="1" applyBorder="1" applyAlignment="1" applyProtection="1">
      <alignment horizontal="center" vertical="center"/>
      <protection hidden="1"/>
    </xf>
    <xf numFmtId="0" fontId="36" fillId="0" borderId="47" xfId="0" applyFont="1" applyBorder="1" applyAlignment="1" applyProtection="1">
      <alignment horizontal="center" vertical="center"/>
    </xf>
    <xf numFmtId="0" fontId="24" fillId="0" borderId="53" xfId="6" applyFont="1" applyBorder="1" applyAlignment="1" applyProtection="1">
      <alignment horizontal="center" vertical="center"/>
      <protection hidden="1"/>
    </xf>
    <xf numFmtId="0" fontId="24" fillId="0" borderId="135" xfId="6" applyFont="1" applyBorder="1" applyAlignment="1" applyProtection="1">
      <alignment horizontal="center" vertical="center"/>
      <protection hidden="1"/>
    </xf>
    <xf numFmtId="0" fontId="24" fillId="8" borderId="125" xfId="0" applyFont="1" applyFill="1" applyBorder="1" applyAlignment="1" applyProtection="1">
      <alignment horizontal="center" vertical="center"/>
    </xf>
    <xf numFmtId="0" fontId="24" fillId="8" borderId="136" xfId="0" applyFont="1" applyFill="1" applyBorder="1" applyAlignment="1" applyProtection="1">
      <alignment horizontal="center" vertical="center"/>
    </xf>
    <xf numFmtId="0" fontId="24" fillId="0" borderId="125" xfId="6" applyFont="1" applyBorder="1" applyAlignment="1" applyProtection="1">
      <alignment horizontal="center" vertical="center"/>
      <protection hidden="1"/>
    </xf>
    <xf numFmtId="0" fontId="24" fillId="0" borderId="136" xfId="6" applyFont="1" applyBorder="1" applyAlignment="1" applyProtection="1">
      <alignment horizontal="center" vertical="center"/>
      <protection hidden="1"/>
    </xf>
    <xf numFmtId="0" fontId="24" fillId="8" borderId="126" xfId="0" applyFont="1" applyFill="1" applyBorder="1" applyAlignment="1" applyProtection="1">
      <alignment horizontal="center" vertical="center"/>
    </xf>
    <xf numFmtId="0" fontId="24" fillId="8" borderId="127" xfId="0" applyFont="1" applyFill="1" applyBorder="1" applyAlignment="1" applyProtection="1">
      <alignment horizontal="center" vertical="center"/>
    </xf>
    <xf numFmtId="0" fontId="24" fillId="0" borderId="127" xfId="6" applyFont="1" applyBorder="1" applyAlignment="1" applyProtection="1">
      <alignment horizontal="center" vertical="center"/>
      <protection hidden="1"/>
    </xf>
    <xf numFmtId="0" fontId="24" fillId="0" borderId="137" xfId="6" applyFont="1" applyBorder="1" applyAlignment="1" applyProtection="1">
      <alignment horizontal="center" vertical="center"/>
      <protection hidden="1"/>
    </xf>
    <xf numFmtId="0" fontId="36" fillId="0" borderId="53" xfId="0" applyFont="1" applyBorder="1" applyAlignment="1" applyProtection="1">
      <alignment horizontal="center" vertical="center"/>
    </xf>
    <xf numFmtId="0" fontId="36" fillId="0" borderId="71" xfId="0" applyFont="1" applyBorder="1" applyAlignment="1" applyProtection="1">
      <alignment horizontal="center" vertical="center"/>
    </xf>
    <xf numFmtId="0" fontId="37" fillId="0" borderId="135" xfId="0" applyFont="1" applyBorder="1" applyAlignment="1" applyProtection="1">
      <alignment horizontal="center" vertical="center"/>
    </xf>
    <xf numFmtId="0" fontId="24" fillId="0" borderId="126" xfId="0" applyFont="1" applyBorder="1" applyAlignment="1" applyProtection="1">
      <alignment horizontal="center" vertical="center"/>
    </xf>
    <xf numFmtId="0" fontId="24" fillId="0" borderId="127" xfId="0" applyFont="1" applyBorder="1" applyAlignment="1" applyProtection="1">
      <alignment horizontal="center" vertical="center"/>
    </xf>
    <xf numFmtId="0" fontId="37" fillId="0" borderId="137" xfId="0" applyFont="1" applyBorder="1" applyAlignment="1" applyProtection="1">
      <alignment horizontal="center" vertical="center"/>
    </xf>
    <xf numFmtId="0" fontId="24" fillId="0" borderId="138" xfId="0" applyFont="1" applyBorder="1" applyAlignment="1" applyProtection="1">
      <alignment horizontal="center" vertical="center"/>
    </xf>
    <xf numFmtId="166" fontId="63" fillId="0" borderId="15" xfId="0" applyNumberFormat="1" applyFont="1" applyBorder="1" applyAlignment="1" applyProtection="1">
      <alignment horizontal="center" vertical="center"/>
      <protection locked="0"/>
    </xf>
    <xf numFmtId="166" fontId="63" fillId="0" borderId="50" xfId="0" applyNumberFormat="1" applyFont="1" applyBorder="1" applyAlignment="1" applyProtection="1">
      <alignment horizontal="center" vertical="center"/>
      <protection locked="0"/>
    </xf>
    <xf numFmtId="166" fontId="34" fillId="0" borderId="50" xfId="0" applyNumberFormat="1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</xf>
    <xf numFmtId="0" fontId="24" fillId="0" borderId="77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33" fillId="3" borderId="18" xfId="0" applyFont="1" applyFill="1" applyBorder="1" applyAlignment="1" applyProtection="1">
      <alignment horizontal="center" vertical="center"/>
    </xf>
    <xf numFmtId="20" fontId="33" fillId="0" borderId="141" xfId="0" applyNumberFormat="1" applyFont="1" applyBorder="1" applyAlignment="1" applyProtection="1">
      <alignment horizontal="center" vertical="center"/>
    </xf>
    <xf numFmtId="0" fontId="33" fillId="0" borderId="141" xfId="0" applyFont="1" applyBorder="1" applyAlignment="1" applyProtection="1">
      <alignment horizontal="center" vertical="center"/>
    </xf>
    <xf numFmtId="0" fontId="34" fillId="0" borderId="69" xfId="0" applyFont="1" applyBorder="1" applyAlignment="1" applyProtection="1">
      <alignment horizontal="center" vertical="center"/>
    </xf>
    <xf numFmtId="0" fontId="34" fillId="0" borderId="76" xfId="0" applyFont="1" applyBorder="1" applyAlignment="1" applyProtection="1">
      <alignment horizontal="center" vertical="center"/>
    </xf>
    <xf numFmtId="0" fontId="34" fillId="0" borderId="142" xfId="0" applyFont="1" applyBorder="1" applyAlignment="1" applyProtection="1">
      <alignment horizontal="center" vertical="center"/>
    </xf>
    <xf numFmtId="166" fontId="34" fillId="0" borderId="135" xfId="0" applyNumberFormat="1" applyFont="1" applyBorder="1" applyAlignment="1" applyProtection="1">
      <alignment horizontal="center" vertical="center"/>
      <protection locked="0"/>
    </xf>
    <xf numFmtId="166" fontId="34" fillId="0" borderId="136" xfId="0" applyNumberFormat="1" applyFont="1" applyBorder="1" applyAlignment="1" applyProtection="1">
      <alignment horizontal="center" vertical="center"/>
      <protection locked="0"/>
    </xf>
    <xf numFmtId="166" fontId="34" fillId="0" borderId="17" xfId="0" applyNumberFormat="1" applyFont="1" applyBorder="1" applyAlignment="1" applyProtection="1">
      <alignment horizontal="center" vertical="center"/>
      <protection locked="0"/>
    </xf>
    <xf numFmtId="166" fontId="34" fillId="0" borderId="66" xfId="0" applyNumberFormat="1" applyFont="1" applyBorder="1" applyAlignment="1" applyProtection="1">
      <alignment horizontal="center" vertical="center"/>
      <protection locked="0"/>
    </xf>
    <xf numFmtId="166" fontId="34" fillId="0" borderId="138" xfId="0" applyNumberFormat="1" applyFont="1" applyBorder="1" applyAlignment="1" applyProtection="1">
      <alignment horizontal="center" vertical="center"/>
      <protection locked="0"/>
    </xf>
    <xf numFmtId="0" fontId="24" fillId="0" borderId="137" xfId="0" applyFont="1" applyBorder="1" applyAlignment="1" applyProtection="1">
      <alignment horizontal="center" vertical="center"/>
    </xf>
    <xf numFmtId="0" fontId="36" fillId="0" borderId="143" xfId="0" applyFont="1" applyBorder="1" applyAlignment="1" applyProtection="1">
      <alignment horizontal="center" vertical="center"/>
    </xf>
    <xf numFmtId="0" fontId="36" fillId="0" borderId="144" xfId="0" applyFont="1" applyBorder="1" applyAlignment="1" applyProtection="1">
      <alignment horizontal="center" vertical="center"/>
    </xf>
    <xf numFmtId="0" fontId="34" fillId="0" borderId="145" xfId="0" applyFont="1" applyBorder="1" applyAlignment="1" applyProtection="1">
      <alignment vertical="center"/>
    </xf>
    <xf numFmtId="0" fontId="68" fillId="0" borderId="0" xfId="0" applyFont="1" applyBorder="1" applyAlignment="1" applyProtection="1">
      <alignment horizontal="center" vertical="center"/>
    </xf>
    <xf numFmtId="0" fontId="68" fillId="0" borderId="0" xfId="0" applyFont="1" applyAlignment="1" applyProtection="1">
      <alignment vertical="center"/>
    </xf>
    <xf numFmtId="0" fontId="20" fillId="5" borderId="28" xfId="0" applyFont="1" applyFill="1" applyBorder="1" applyAlignment="1" applyProtection="1">
      <alignment horizontal="center"/>
      <protection locked="0"/>
    </xf>
    <xf numFmtId="0" fontId="20" fillId="5" borderId="30" xfId="0" applyFont="1" applyFill="1" applyBorder="1" applyAlignment="1" applyProtection="1">
      <alignment horizontal="center"/>
      <protection locked="0"/>
    </xf>
    <xf numFmtId="0" fontId="20" fillId="5" borderId="33" xfId="0" applyFont="1" applyFill="1" applyBorder="1" applyAlignment="1" applyProtection="1">
      <alignment horizontal="center"/>
      <protection locked="0"/>
    </xf>
    <xf numFmtId="20" fontId="20" fillId="5" borderId="1" xfId="0" applyNumberFormat="1" applyFont="1" applyFill="1" applyBorder="1" applyAlignment="1" applyProtection="1">
      <alignment horizontal="center"/>
      <protection locked="0"/>
    </xf>
    <xf numFmtId="0" fontId="20" fillId="5" borderId="38" xfId="0" applyFont="1" applyFill="1" applyBorder="1" applyAlignment="1" applyProtection="1">
      <alignment horizontal="center"/>
      <protection locked="0"/>
    </xf>
    <xf numFmtId="0" fontId="20" fillId="5" borderId="40" xfId="0" applyFont="1" applyFill="1" applyBorder="1" applyAlignment="1" applyProtection="1">
      <alignment horizontal="center"/>
      <protection locked="0"/>
    </xf>
    <xf numFmtId="0" fontId="20" fillId="5" borderId="43" xfId="0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Alignment="1" applyProtection="1">
      <alignment horizontal="center"/>
      <protection locked="0"/>
    </xf>
    <xf numFmtId="0" fontId="20" fillId="5" borderId="42" xfId="0" applyFont="1" applyFill="1" applyBorder="1" applyAlignment="1" applyProtection="1">
      <alignment horizontal="center"/>
      <protection locked="0"/>
    </xf>
    <xf numFmtId="0" fontId="19" fillId="0" borderId="27" xfId="0" applyFont="1" applyBorder="1" applyAlignment="1" applyProtection="1">
      <alignment horizontal="right"/>
    </xf>
    <xf numFmtId="0" fontId="21" fillId="0" borderId="0" xfId="0" applyFont="1" applyProtection="1"/>
    <xf numFmtId="0" fontId="22" fillId="0" borderId="0" xfId="0" applyFont="1" applyProtection="1"/>
    <xf numFmtId="0" fontId="22" fillId="0" borderId="0" xfId="0" applyFont="1" applyFill="1" applyProtection="1"/>
    <xf numFmtId="0" fontId="19" fillId="0" borderId="29" xfId="0" applyFont="1" applyBorder="1" applyProtection="1"/>
    <xf numFmtId="0" fontId="19" fillId="0" borderId="0" xfId="0" applyFont="1" applyBorder="1" applyAlignment="1" applyProtection="1">
      <alignment horizontal="right"/>
    </xf>
    <xf numFmtId="0" fontId="21" fillId="0" borderId="0" xfId="0" applyFont="1" applyFill="1" applyProtection="1"/>
    <xf numFmtId="0" fontId="21" fillId="0" borderId="0" xfId="0" applyFont="1" applyBorder="1" applyProtection="1"/>
    <xf numFmtId="0" fontId="21" fillId="0" borderId="30" xfId="0" applyFont="1" applyBorder="1" applyProtection="1"/>
    <xf numFmtId="0" fontId="19" fillId="0" borderId="31" xfId="0" applyFont="1" applyBorder="1" applyProtection="1"/>
    <xf numFmtId="0" fontId="19" fillId="0" borderId="32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0" fontId="19" fillId="0" borderId="0" xfId="0" applyFont="1" applyProtection="1"/>
    <xf numFmtId="168" fontId="19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right"/>
    </xf>
    <xf numFmtId="0" fontId="21" fillId="3" borderId="34" xfId="0" applyFont="1" applyFill="1" applyBorder="1" applyAlignment="1" applyProtection="1">
      <alignment horizontal="center"/>
    </xf>
    <xf numFmtId="0" fontId="21" fillId="0" borderId="35" xfId="0" applyFont="1" applyBorder="1" applyAlignment="1" applyProtection="1">
      <alignment horizontal="center"/>
    </xf>
    <xf numFmtId="0" fontId="21" fillId="0" borderId="36" xfId="0" applyFont="1" applyBorder="1" applyAlignment="1" applyProtection="1">
      <alignment horizontal="center"/>
    </xf>
    <xf numFmtId="0" fontId="21" fillId="6" borderId="4" xfId="0" applyFont="1" applyFill="1" applyBorder="1" applyProtection="1"/>
    <xf numFmtId="0" fontId="21" fillId="0" borderId="37" xfId="0" applyFont="1" applyBorder="1" applyAlignment="1" applyProtection="1">
      <alignment horizontal="center"/>
    </xf>
    <xf numFmtId="0" fontId="21" fillId="0" borderId="32" xfId="0" applyFont="1" applyBorder="1" applyProtection="1"/>
    <xf numFmtId="20" fontId="21" fillId="0" borderId="1" xfId="0" quotePrefix="1" applyNumberFormat="1" applyFont="1" applyFill="1" applyBorder="1" applyAlignment="1" applyProtection="1">
      <alignment horizontal="center"/>
    </xf>
    <xf numFmtId="0" fontId="19" fillId="0" borderId="39" xfId="0" applyFont="1" applyBorder="1" applyAlignment="1" applyProtection="1">
      <alignment horizontal="center"/>
    </xf>
    <xf numFmtId="0" fontId="20" fillId="0" borderId="0" xfId="0" applyFont="1" applyProtection="1"/>
    <xf numFmtId="0" fontId="21" fillId="0" borderId="41" xfId="0" applyFont="1" applyBorder="1" applyAlignment="1" applyProtection="1">
      <alignment horizontal="center"/>
    </xf>
    <xf numFmtId="20" fontId="21" fillId="0" borderId="42" xfId="0" quotePrefix="1" applyNumberFormat="1" applyFont="1" applyFill="1" applyBorder="1" applyAlignment="1" applyProtection="1">
      <alignment horizontal="center"/>
    </xf>
    <xf numFmtId="0" fontId="21" fillId="0" borderId="44" xfId="0" applyFont="1" applyBorder="1" applyProtection="1"/>
    <xf numFmtId="0" fontId="19" fillId="0" borderId="0" xfId="0" applyFont="1" applyFill="1" applyProtection="1"/>
    <xf numFmtId="0" fontId="21" fillId="5" borderId="1" xfId="0" applyFont="1" applyFill="1" applyBorder="1" applyProtection="1"/>
    <xf numFmtId="0" fontId="21" fillId="0" borderId="0" xfId="0" applyFont="1" applyBorder="1" applyAlignment="1" applyProtection="1">
      <alignment horizontal="center"/>
    </xf>
    <xf numFmtId="20" fontId="23" fillId="0" borderId="0" xfId="0" quotePrefix="1" applyNumberFormat="1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Protection="1"/>
    <xf numFmtId="0" fontId="21" fillId="7" borderId="37" xfId="0" quotePrefix="1" applyFont="1" applyFill="1" applyBorder="1" applyAlignment="1" applyProtection="1">
      <alignment horizontal="center"/>
    </xf>
    <xf numFmtId="0" fontId="21" fillId="7" borderId="1" xfId="0" applyFont="1" applyFill="1" applyBorder="1" applyAlignment="1" applyProtection="1">
      <alignment horizontal="center"/>
    </xf>
    <xf numFmtId="0" fontId="21" fillId="7" borderId="38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37" xfId="0" quotePrefix="1" applyFont="1" applyBorder="1" applyAlignment="1" applyProtection="1">
      <alignment horizontal="center"/>
    </xf>
    <xf numFmtId="20" fontId="21" fillId="0" borderId="1" xfId="0" applyNumberFormat="1" applyFont="1" applyBorder="1" applyAlignment="1" applyProtection="1">
      <alignment horizontal="center"/>
    </xf>
    <xf numFmtId="0" fontId="21" fillId="0" borderId="41" xfId="0" quotePrefix="1" applyFont="1" applyBorder="1" applyAlignment="1" applyProtection="1">
      <alignment horizontal="center"/>
    </xf>
    <xf numFmtId="20" fontId="21" fillId="0" borderId="42" xfId="0" applyNumberFormat="1" applyFont="1" applyBorder="1" applyAlignment="1" applyProtection="1">
      <alignment horizontal="center"/>
    </xf>
    <xf numFmtId="0" fontId="19" fillId="3" borderId="34" xfId="0" applyFont="1" applyFill="1" applyBorder="1" applyAlignment="1" applyProtection="1">
      <alignment horizontal="center"/>
    </xf>
    <xf numFmtId="0" fontId="21" fillId="0" borderId="45" xfId="0" applyFont="1" applyBorder="1" applyAlignment="1" applyProtection="1">
      <alignment horizontal="center"/>
    </xf>
    <xf numFmtId="0" fontId="19" fillId="3" borderId="35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7" borderId="46" xfId="0" applyFont="1" applyFill="1" applyBorder="1" applyAlignment="1" applyProtection="1">
      <alignment horizontal="center"/>
    </xf>
    <xf numFmtId="0" fontId="21" fillId="7" borderId="47" xfId="0" applyFont="1" applyFill="1" applyBorder="1" applyAlignment="1" applyProtection="1">
      <alignment horizontal="center"/>
    </xf>
    <xf numFmtId="0" fontId="21" fillId="0" borderId="48" xfId="0" applyFont="1" applyBorder="1" applyAlignment="1" applyProtection="1">
      <alignment horizontal="center"/>
    </xf>
    <xf numFmtId="0" fontId="19" fillId="7" borderId="47" xfId="0" applyFont="1" applyFill="1" applyBorder="1" applyAlignment="1" applyProtection="1">
      <alignment horizontal="center"/>
    </xf>
    <xf numFmtId="0" fontId="21" fillId="7" borderId="49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1" fillId="0" borderId="50" xfId="0" applyFont="1" applyBorder="1" applyAlignment="1" applyProtection="1">
      <alignment horizontal="center"/>
    </xf>
    <xf numFmtId="0" fontId="21" fillId="0" borderId="51" xfId="0" applyFont="1" applyBorder="1" applyAlignment="1" applyProtection="1">
      <alignment horizontal="center"/>
    </xf>
    <xf numFmtId="0" fontId="21" fillId="0" borderId="42" xfId="0" applyFont="1" applyBorder="1" applyAlignment="1" applyProtection="1">
      <alignment horizontal="center"/>
    </xf>
    <xf numFmtId="0" fontId="21" fillId="0" borderId="52" xfId="0" applyFont="1" applyBorder="1" applyAlignment="1" applyProtection="1">
      <alignment horizontal="center"/>
    </xf>
    <xf numFmtId="0" fontId="21" fillId="7" borderId="37" xfId="0" applyFont="1" applyFill="1" applyBorder="1" applyAlignment="1" applyProtection="1">
      <alignment horizontal="center"/>
    </xf>
    <xf numFmtId="0" fontId="21" fillId="0" borderId="38" xfId="0" applyFont="1" applyBorder="1" applyAlignment="1" applyProtection="1">
      <alignment horizontal="center"/>
    </xf>
    <xf numFmtId="0" fontId="21" fillId="0" borderId="52" xfId="0" applyFont="1" applyFill="1" applyBorder="1" applyAlignment="1" applyProtection="1">
      <alignment horizontal="center"/>
    </xf>
    <xf numFmtId="0" fontId="21" fillId="0" borderId="37" xfId="0" quotePrefix="1" applyFont="1" applyFill="1" applyBorder="1" applyAlignment="1" applyProtection="1">
      <alignment horizontal="center"/>
    </xf>
    <xf numFmtId="0" fontId="21" fillId="0" borderId="5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7" borderId="41" xfId="0" quotePrefix="1" applyFont="1" applyFill="1" applyBorder="1" applyAlignment="1" applyProtection="1">
      <alignment horizontal="center"/>
    </xf>
    <xf numFmtId="0" fontId="21" fillId="7" borderId="42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vertical="center"/>
      <protection hidden="1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0" fontId="53" fillId="5" borderId="86" xfId="0" applyFont="1" applyFill="1" applyBorder="1" applyAlignment="1" applyProtection="1">
      <alignment horizontal="center"/>
      <protection locked="0"/>
    </xf>
    <xf numFmtId="0" fontId="53" fillId="5" borderId="27" xfId="0" quotePrefix="1" applyFont="1" applyFill="1" applyBorder="1" applyAlignment="1" applyProtection="1">
      <alignment horizontal="center"/>
      <protection locked="0"/>
    </xf>
    <xf numFmtId="0" fontId="20" fillId="5" borderId="0" xfId="0" applyFont="1" applyFill="1" applyBorder="1" applyAlignment="1" applyProtection="1">
      <alignment horizontal="center"/>
      <protection locked="0"/>
    </xf>
    <xf numFmtId="171" fontId="20" fillId="5" borderId="32" xfId="0" applyNumberFormat="1" applyFont="1" applyFill="1" applyBorder="1" applyAlignment="1" applyProtection="1">
      <alignment horizontal="center"/>
      <protection locked="0"/>
    </xf>
    <xf numFmtId="0" fontId="19" fillId="3" borderId="130" xfId="0" applyFont="1" applyFill="1" applyBorder="1" applyAlignment="1" applyProtection="1">
      <alignment horizontal="center"/>
    </xf>
    <xf numFmtId="0" fontId="19" fillId="3" borderId="82" xfId="0" applyFont="1" applyFill="1" applyBorder="1" applyAlignment="1" applyProtection="1">
      <alignment horizontal="center"/>
    </xf>
    <xf numFmtId="0" fontId="19" fillId="3" borderId="131" xfId="0" applyFont="1" applyFill="1" applyBorder="1" applyAlignment="1" applyProtection="1">
      <alignment horizontal="center"/>
    </xf>
    <xf numFmtId="0" fontId="19" fillId="3" borderId="35" xfId="0" applyFont="1" applyFill="1" applyBorder="1" applyAlignment="1" applyProtection="1">
      <alignment horizontal="center"/>
    </xf>
    <xf numFmtId="0" fontId="19" fillId="3" borderId="36" xfId="0" applyFont="1" applyFill="1" applyBorder="1" applyAlignment="1" applyProtection="1">
      <alignment horizontal="center"/>
    </xf>
    <xf numFmtId="0" fontId="19" fillId="0" borderId="80" xfId="0" applyFont="1" applyBorder="1" applyAlignment="1" applyProtection="1">
      <alignment horizontal="center"/>
    </xf>
    <xf numFmtId="0" fontId="19" fillId="0" borderId="131" xfId="0" applyFont="1" applyBorder="1" applyAlignment="1" applyProtection="1">
      <alignment horizontal="center"/>
    </xf>
    <xf numFmtId="0" fontId="20" fillId="5" borderId="73" xfId="0" applyFont="1" applyFill="1" applyBorder="1" applyAlignment="1" applyProtection="1">
      <alignment horizontal="center"/>
      <protection locked="0"/>
    </xf>
    <xf numFmtId="0" fontId="20" fillId="5" borderId="132" xfId="0" applyFont="1" applyFill="1" applyBorder="1" applyAlignment="1" applyProtection="1">
      <alignment horizontal="center"/>
      <protection locked="0"/>
    </xf>
    <xf numFmtId="0" fontId="21" fillId="0" borderId="102" xfId="0" applyFont="1" applyBorder="1" applyAlignment="1" applyProtection="1">
      <alignment horizontal="center"/>
    </xf>
    <xf numFmtId="0" fontId="21" fillId="0" borderId="133" xfId="0" applyFont="1" applyBorder="1" applyAlignment="1" applyProtection="1">
      <alignment horizontal="center"/>
    </xf>
    <xf numFmtId="0" fontId="54" fillId="0" borderId="0" xfId="2" applyFont="1" applyAlignment="1" applyProtection="1">
      <alignment horizontal="center" vertical="center"/>
      <protection locked="0"/>
    </xf>
    <xf numFmtId="0" fontId="55" fillId="0" borderId="0" xfId="2" applyFont="1" applyAlignment="1" applyProtection="1">
      <alignment horizontal="center" vertical="center"/>
      <protection locked="0"/>
    </xf>
    <xf numFmtId="0" fontId="24" fillId="11" borderId="0" xfId="2" applyFont="1" applyFill="1" applyAlignment="1" applyProtection="1">
      <alignment horizontal="center" vertical="center"/>
      <protection locked="0"/>
    </xf>
    <xf numFmtId="168" fontId="24" fillId="0" borderId="0" xfId="2" applyNumberFormat="1" applyFont="1" applyBorder="1" applyAlignment="1" applyProtection="1">
      <alignment horizontal="center" vertical="center"/>
      <protection locked="0"/>
    </xf>
    <xf numFmtId="0" fontId="34" fillId="0" borderId="126" xfId="0" applyFont="1" applyBorder="1" applyAlignment="1" applyProtection="1">
      <alignment horizontal="center" vertical="center"/>
    </xf>
    <xf numFmtId="0" fontId="34" fillId="0" borderId="127" xfId="0" applyFont="1" applyBorder="1" applyAlignment="1" applyProtection="1">
      <alignment horizontal="center" vertical="center"/>
    </xf>
    <xf numFmtId="0" fontId="34" fillId="0" borderId="137" xfId="0" applyFont="1" applyBorder="1" applyAlignment="1" applyProtection="1">
      <alignment horizontal="center" vertical="center"/>
    </xf>
    <xf numFmtId="0" fontId="34" fillId="0" borderId="53" xfId="0" applyFont="1" applyBorder="1" applyAlignment="1" applyProtection="1">
      <alignment horizontal="center" vertical="center"/>
    </xf>
    <xf numFmtId="0" fontId="34" fillId="0" borderId="71" xfId="0" applyFont="1" applyBorder="1" applyAlignment="1" applyProtection="1">
      <alignment horizontal="center" vertical="center"/>
    </xf>
    <xf numFmtId="0" fontId="34" fillId="0" borderId="135" xfId="0" applyFont="1" applyBorder="1" applyAlignment="1" applyProtection="1">
      <alignment horizontal="center" vertical="center"/>
    </xf>
    <xf numFmtId="0" fontId="34" fillId="0" borderId="125" xfId="0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0" fontId="34" fillId="0" borderId="136" xfId="0" applyFont="1" applyBorder="1" applyAlignment="1" applyProtection="1">
      <alignment horizontal="center" vertical="center"/>
    </xf>
    <xf numFmtId="0" fontId="34" fillId="0" borderId="74" xfId="0" applyFont="1" applyBorder="1" applyAlignment="1" applyProtection="1">
      <alignment horizontal="center" vertical="center"/>
    </xf>
    <xf numFmtId="0" fontId="34" fillId="0" borderId="75" xfId="0" applyFont="1" applyBorder="1" applyAlignment="1" applyProtection="1">
      <alignment horizontal="center" vertical="center"/>
    </xf>
    <xf numFmtId="0" fontId="34" fillId="0" borderId="140" xfId="0" applyFont="1" applyBorder="1" applyAlignment="1" applyProtection="1">
      <alignment horizontal="center" vertical="center"/>
    </xf>
    <xf numFmtId="0" fontId="34" fillId="0" borderId="129" xfId="0" applyFont="1" applyBorder="1" applyAlignment="1" applyProtection="1">
      <alignment horizontal="center" vertical="center"/>
    </xf>
    <xf numFmtId="0" fontId="34" fillId="0" borderId="70" xfId="0" applyFont="1" applyBorder="1" applyAlignment="1" applyProtection="1">
      <alignment horizontal="center" vertical="center"/>
    </xf>
    <xf numFmtId="0" fontId="34" fillId="0" borderId="67" xfId="0" applyFont="1" applyBorder="1" applyAlignment="1" applyProtection="1">
      <alignment horizontal="center" vertical="center"/>
    </xf>
    <xf numFmtId="0" fontId="34" fillId="0" borderId="77" xfId="0" applyFont="1" applyBorder="1" applyAlignment="1" applyProtection="1">
      <alignment horizontal="center" vertical="center"/>
    </xf>
    <xf numFmtId="0" fontId="34" fillId="0" borderId="139" xfId="0" applyFont="1" applyBorder="1" applyAlignment="1" applyProtection="1">
      <alignment horizontal="center" vertical="center"/>
    </xf>
    <xf numFmtId="0" fontId="34" fillId="0" borderId="68" xfId="0" applyFont="1" applyBorder="1" applyAlignment="1" applyProtection="1">
      <alignment horizontal="center" vertical="center"/>
    </xf>
    <xf numFmtId="0" fontId="68" fillId="0" borderId="0" xfId="0" applyFont="1" applyAlignment="1" applyProtection="1">
      <alignment horizontal="left" vertical="center"/>
    </xf>
    <xf numFmtId="165" fontId="34" fillId="0" borderId="125" xfId="0" applyNumberFormat="1" applyFont="1" applyBorder="1" applyAlignment="1" applyProtection="1">
      <alignment horizontal="center" vertical="center"/>
    </xf>
    <xf numFmtId="165" fontId="34" fillId="0" borderId="1" xfId="0" applyNumberFormat="1" applyFont="1" applyBorder="1" applyAlignment="1" applyProtection="1">
      <alignment horizontal="center" vertical="center"/>
    </xf>
    <xf numFmtId="165" fontId="34" fillId="0" borderId="136" xfId="0" applyNumberFormat="1" applyFont="1" applyBorder="1" applyAlignment="1" applyProtection="1">
      <alignment horizontal="center" vertical="center"/>
    </xf>
    <xf numFmtId="0" fontId="68" fillId="0" borderId="0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134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165" fontId="34" fillId="0" borderId="53" xfId="0" applyNumberFormat="1" applyFont="1" applyBorder="1" applyAlignment="1" applyProtection="1">
      <alignment horizontal="center" vertical="center"/>
    </xf>
    <xf numFmtId="165" fontId="34" fillId="0" borderId="71" xfId="0" applyNumberFormat="1" applyFont="1" applyBorder="1" applyAlignment="1" applyProtection="1">
      <alignment horizontal="center" vertical="center"/>
    </xf>
    <xf numFmtId="165" fontId="34" fillId="0" borderId="135" xfId="0" applyNumberFormat="1" applyFont="1" applyBorder="1" applyAlignment="1" applyProtection="1">
      <alignment horizontal="center" vertical="center"/>
    </xf>
    <xf numFmtId="0" fontId="24" fillId="14" borderId="53" xfId="0" applyFont="1" applyFill="1" applyBorder="1" applyAlignment="1" applyProtection="1">
      <alignment horizontal="center" vertical="center"/>
    </xf>
    <xf numFmtId="0" fontId="24" fillId="14" borderId="135" xfId="0" applyFont="1" applyFill="1" applyBorder="1" applyAlignment="1" applyProtection="1">
      <alignment horizontal="center" vertical="center"/>
    </xf>
    <xf numFmtId="0" fontId="34" fillId="0" borderId="53" xfId="10" applyFont="1" applyBorder="1" applyAlignment="1" applyProtection="1">
      <alignment horizontal="center" vertical="center"/>
    </xf>
    <xf numFmtId="0" fontId="34" fillId="0" borderId="135" xfId="10" applyFont="1" applyBorder="1" applyAlignment="1" applyProtection="1">
      <alignment horizontal="center" vertical="center"/>
    </xf>
    <xf numFmtId="171" fontId="68" fillId="0" borderId="0" xfId="0" applyNumberFormat="1" applyFont="1" applyBorder="1" applyAlignment="1" applyProtection="1">
      <alignment horizontal="center" vertical="center"/>
    </xf>
    <xf numFmtId="0" fontId="69" fillId="0" borderId="0" xfId="0" applyFont="1" applyBorder="1" applyAlignment="1" applyProtection="1">
      <alignment horizontal="center" vertical="center"/>
    </xf>
    <xf numFmtId="0" fontId="34" fillId="0" borderId="0" xfId="5" applyFont="1" applyAlignment="1" applyProtection="1">
      <alignment horizontal="center" vertical="center"/>
    </xf>
    <xf numFmtId="0" fontId="34" fillId="0" borderId="53" xfId="0" applyNumberFormat="1" applyFont="1" applyBorder="1" applyAlignment="1" applyProtection="1">
      <alignment horizontal="center" vertical="center"/>
    </xf>
    <xf numFmtId="0" fontId="34" fillId="0" borderId="135" xfId="0" applyNumberFormat="1" applyFont="1" applyBorder="1" applyAlignment="1" applyProtection="1">
      <alignment horizontal="center" vertical="center"/>
    </xf>
    <xf numFmtId="0" fontId="34" fillId="0" borderId="71" xfId="10" applyFont="1" applyBorder="1" applyAlignment="1" applyProtection="1">
      <alignment horizontal="center" vertical="center"/>
    </xf>
    <xf numFmtId="0" fontId="34" fillId="0" borderId="126" xfId="0" applyNumberFormat="1" applyFont="1" applyBorder="1" applyAlignment="1" applyProtection="1">
      <alignment horizontal="center" vertical="center"/>
    </xf>
    <xf numFmtId="0" fontId="34" fillId="0" borderId="137" xfId="0" applyNumberFormat="1" applyFont="1" applyBorder="1" applyAlignment="1" applyProtection="1">
      <alignment horizontal="center" vertical="center"/>
    </xf>
    <xf numFmtId="0" fontId="24" fillId="0" borderId="139" xfId="0" applyFont="1" applyBorder="1" applyAlignment="1" applyProtection="1">
      <alignment horizontal="center" vertical="center"/>
    </xf>
    <xf numFmtId="0" fontId="24" fillId="0" borderId="140" xfId="0" applyFont="1" applyBorder="1" applyAlignment="1" applyProtection="1">
      <alignment horizontal="center" vertical="center"/>
    </xf>
    <xf numFmtId="0" fontId="24" fillId="0" borderId="129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165" fontId="34" fillId="0" borderId="126" xfId="0" applyNumberFormat="1" applyFont="1" applyBorder="1" applyAlignment="1" applyProtection="1">
      <alignment horizontal="center" vertical="center"/>
    </xf>
    <xf numFmtId="165" fontId="34" fillId="0" borderId="127" xfId="0" applyNumberFormat="1" applyFont="1" applyBorder="1" applyAlignment="1" applyProtection="1">
      <alignment horizontal="center" vertical="center"/>
    </xf>
    <xf numFmtId="165" fontId="34" fillId="0" borderId="137" xfId="0" applyNumberFormat="1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</xf>
    <xf numFmtId="0" fontId="24" fillId="0" borderId="72" xfId="0" applyFont="1" applyBorder="1" applyAlignment="1" applyProtection="1">
      <alignment horizontal="center" vertical="center"/>
    </xf>
    <xf numFmtId="0" fontId="34" fillId="0" borderId="125" xfId="10" applyFont="1" applyBorder="1" applyAlignment="1" applyProtection="1">
      <alignment horizontal="center" vertical="center"/>
    </xf>
    <xf numFmtId="0" fontId="34" fillId="0" borderId="1" xfId="10" applyFont="1" applyBorder="1" applyAlignment="1" applyProtection="1">
      <alignment horizontal="center" vertical="center"/>
    </xf>
    <xf numFmtId="0" fontId="34" fillId="0" borderId="136" xfId="10" applyFont="1" applyBorder="1" applyAlignment="1" applyProtection="1">
      <alignment horizontal="center" vertical="center"/>
    </xf>
    <xf numFmtId="0" fontId="34" fillId="0" borderId="125" xfId="0" applyNumberFormat="1" applyFont="1" applyBorder="1" applyAlignment="1" applyProtection="1">
      <alignment horizontal="center" vertical="center"/>
    </xf>
    <xf numFmtId="0" fontId="34" fillId="0" borderId="136" xfId="0" applyNumberFormat="1" applyFont="1" applyBorder="1" applyAlignment="1" applyProtection="1">
      <alignment horizontal="center" vertical="center"/>
    </xf>
    <xf numFmtId="0" fontId="34" fillId="0" borderId="126" xfId="10" applyFont="1" applyBorder="1" applyAlignment="1" applyProtection="1">
      <alignment horizontal="center" vertical="center"/>
    </xf>
    <xf numFmtId="0" fontId="34" fillId="0" borderId="127" xfId="10" applyFont="1" applyBorder="1" applyAlignment="1" applyProtection="1">
      <alignment horizontal="center" vertical="center"/>
    </xf>
    <xf numFmtId="0" fontId="34" fillId="0" borderId="137" xfId="10" applyFont="1" applyBorder="1" applyAlignment="1" applyProtection="1">
      <alignment horizontal="center" vertical="center"/>
    </xf>
    <xf numFmtId="0" fontId="24" fillId="0" borderId="126" xfId="0" applyFont="1" applyBorder="1" applyAlignment="1" applyProtection="1">
      <alignment horizontal="center" vertical="center"/>
    </xf>
    <xf numFmtId="0" fontId="24" fillId="0" borderId="128" xfId="0" applyFont="1" applyBorder="1" applyAlignment="1" applyProtection="1">
      <alignment horizontal="center" vertical="center"/>
    </xf>
    <xf numFmtId="0" fontId="24" fillId="14" borderId="72" xfId="0" applyFont="1" applyFill="1" applyBorder="1" applyAlignment="1" applyProtection="1">
      <alignment horizontal="center" vertical="center"/>
    </xf>
    <xf numFmtId="165" fontId="33" fillId="0" borderId="125" xfId="0" applyNumberFormat="1" applyFont="1" applyBorder="1" applyAlignment="1" applyProtection="1">
      <alignment horizontal="center" vertical="center"/>
      <protection locked="0"/>
    </xf>
    <xf numFmtId="165" fontId="33" fillId="0" borderId="1" xfId="0" applyNumberFormat="1" applyFont="1" applyBorder="1" applyAlignment="1" applyProtection="1">
      <alignment horizontal="center" vertical="center"/>
      <protection locked="0"/>
    </xf>
    <xf numFmtId="165" fontId="33" fillId="0" borderId="136" xfId="0" applyNumberFormat="1" applyFont="1" applyBorder="1" applyAlignment="1" applyProtection="1">
      <alignment horizontal="center" vertical="center"/>
      <protection locked="0"/>
    </xf>
    <xf numFmtId="0" fontId="24" fillId="14" borderId="125" xfId="0" applyFont="1" applyFill="1" applyBorder="1" applyAlignment="1" applyProtection="1">
      <alignment horizontal="center" vertical="center"/>
    </xf>
    <xf numFmtId="0" fontId="24" fillId="14" borderId="136" xfId="0" applyFont="1" applyFill="1" applyBorder="1" applyAlignment="1" applyProtection="1">
      <alignment horizontal="center" vertical="center"/>
    </xf>
    <xf numFmtId="0" fontId="24" fillId="14" borderId="126" xfId="0" applyFont="1" applyFill="1" applyBorder="1" applyAlignment="1" applyProtection="1">
      <alignment horizontal="center" vertical="center"/>
    </xf>
    <xf numFmtId="0" fontId="24" fillId="14" borderId="137" xfId="0" applyFont="1" applyFill="1" applyBorder="1" applyAlignment="1" applyProtection="1">
      <alignment horizontal="center" vertical="center"/>
    </xf>
    <xf numFmtId="0" fontId="56" fillId="0" borderId="53" xfId="0" applyFont="1" applyBorder="1" applyAlignment="1" applyProtection="1">
      <alignment horizontal="center" vertical="center"/>
    </xf>
    <xf numFmtId="0" fontId="56" fillId="0" borderId="135" xfId="0" applyFont="1" applyBorder="1" applyAlignment="1" applyProtection="1">
      <alignment horizontal="center" vertical="center"/>
    </xf>
    <xf numFmtId="0" fontId="24" fillId="0" borderId="70" xfId="0" applyFont="1" applyBorder="1" applyAlignment="1" applyProtection="1">
      <alignment horizontal="center" vertical="center"/>
    </xf>
    <xf numFmtId="0" fontId="24" fillId="0" borderId="67" xfId="0" applyFont="1" applyBorder="1" applyAlignment="1" applyProtection="1">
      <alignment horizontal="center" vertical="center"/>
    </xf>
    <xf numFmtId="0" fontId="24" fillId="0" borderId="68" xfId="0" applyFont="1" applyBorder="1" applyAlignment="1" applyProtection="1">
      <alignment horizontal="center" vertical="center"/>
    </xf>
    <xf numFmtId="0" fontId="34" fillId="0" borderId="0" xfId="5" applyFont="1" applyBorder="1" applyAlignment="1" applyProtection="1">
      <alignment horizontal="center" vertical="center"/>
    </xf>
    <xf numFmtId="0" fontId="24" fillId="0" borderId="125" xfId="0" applyFont="1" applyBorder="1" applyAlignment="1" applyProtection="1">
      <alignment horizontal="center" vertical="center"/>
    </xf>
    <xf numFmtId="0" fontId="24" fillId="0" borderId="79" xfId="0" applyFont="1" applyBorder="1" applyAlignment="1" applyProtection="1">
      <alignment horizontal="center" vertical="center"/>
    </xf>
    <xf numFmtId="0" fontId="56" fillId="0" borderId="125" xfId="0" applyFont="1" applyBorder="1" applyAlignment="1" applyProtection="1">
      <alignment horizontal="center" vertical="center"/>
    </xf>
    <xf numFmtId="0" fontId="56" fillId="0" borderId="136" xfId="0" applyFont="1" applyBorder="1" applyAlignment="1" applyProtection="1">
      <alignment horizontal="center" vertical="center"/>
    </xf>
    <xf numFmtId="165" fontId="33" fillId="0" borderId="126" xfId="0" applyNumberFormat="1" applyFont="1" applyBorder="1" applyAlignment="1" applyProtection="1">
      <alignment horizontal="center" vertical="center"/>
      <protection locked="0"/>
    </xf>
    <xf numFmtId="165" fontId="33" fillId="0" borderId="127" xfId="0" applyNumberFormat="1" applyFont="1" applyBorder="1" applyAlignment="1" applyProtection="1">
      <alignment horizontal="center" vertical="center"/>
      <protection locked="0"/>
    </xf>
    <xf numFmtId="165" fontId="33" fillId="0" borderId="137" xfId="0" applyNumberFormat="1" applyFont="1" applyBorder="1" applyAlignment="1" applyProtection="1">
      <alignment horizontal="center" vertical="center"/>
      <protection locked="0"/>
    </xf>
    <xf numFmtId="0" fontId="56" fillId="0" borderId="126" xfId="0" applyFont="1" applyBorder="1" applyAlignment="1" applyProtection="1">
      <alignment horizontal="center" vertical="center"/>
    </xf>
    <xf numFmtId="0" fontId="56" fillId="0" borderId="137" xfId="0" applyFont="1" applyBorder="1" applyAlignment="1" applyProtection="1">
      <alignment horizontal="center" vertical="center"/>
    </xf>
    <xf numFmtId="0" fontId="24" fillId="14" borderId="128" xfId="0" applyFont="1" applyFill="1" applyBorder="1" applyAlignment="1" applyProtection="1">
      <alignment horizontal="center" vertical="center"/>
    </xf>
    <xf numFmtId="165" fontId="33" fillId="0" borderId="53" xfId="0" applyNumberFormat="1" applyFont="1" applyBorder="1" applyAlignment="1" applyProtection="1">
      <alignment horizontal="center" vertical="center"/>
      <protection locked="0"/>
    </xf>
    <xf numFmtId="165" fontId="33" fillId="0" borderId="71" xfId="0" applyNumberFormat="1" applyFont="1" applyBorder="1" applyAlignment="1" applyProtection="1">
      <alignment horizontal="center" vertical="center"/>
      <protection locked="0"/>
    </xf>
    <xf numFmtId="165" fontId="33" fillId="0" borderId="135" xfId="0" applyNumberFormat="1" applyFont="1" applyBorder="1" applyAlignment="1" applyProtection="1">
      <alignment horizontal="center" vertical="center"/>
      <protection locked="0"/>
    </xf>
    <xf numFmtId="0" fontId="24" fillId="14" borderId="79" xfId="0" applyFont="1" applyFill="1" applyBorder="1" applyAlignment="1" applyProtection="1">
      <alignment horizontal="center" vertical="center"/>
    </xf>
    <xf numFmtId="0" fontId="69" fillId="0" borderId="0" xfId="0" applyFont="1" applyBorder="1" applyAlignment="1" applyProtection="1">
      <alignment horizontal="center"/>
    </xf>
    <xf numFmtId="0" fontId="34" fillId="0" borderId="73" xfId="0" applyNumberFormat="1" applyFont="1" applyBorder="1" applyAlignment="1" applyProtection="1">
      <alignment horizontal="center" vertical="center"/>
      <protection hidden="1"/>
    </xf>
    <xf numFmtId="0" fontId="34" fillId="0" borderId="75" xfId="0" applyNumberFormat="1" applyFont="1" applyBorder="1" applyAlignment="1" applyProtection="1">
      <alignment horizontal="center" vertical="center"/>
      <protection hidden="1"/>
    </xf>
    <xf numFmtId="0" fontId="24" fillId="5" borderId="6" xfId="0" applyFont="1" applyFill="1" applyBorder="1" applyAlignment="1" applyProtection="1">
      <alignment horizontal="center" vertical="center"/>
    </xf>
    <xf numFmtId="0" fontId="24" fillId="5" borderId="134" xfId="0" applyFont="1" applyFill="1" applyBorder="1" applyAlignment="1" applyProtection="1">
      <alignment horizontal="center" vertical="center"/>
    </xf>
    <xf numFmtId="0" fontId="24" fillId="0" borderId="95" xfId="0" applyFont="1" applyBorder="1" applyAlignment="1" applyProtection="1">
      <alignment horizontal="center" vertical="center"/>
    </xf>
    <xf numFmtId="0" fontId="24" fillId="0" borderId="93" xfId="0" applyFont="1" applyBorder="1" applyAlignment="1" applyProtection="1">
      <alignment horizontal="center" vertical="center"/>
    </xf>
    <xf numFmtId="0" fontId="54" fillId="0" borderId="0" xfId="1" applyFont="1" applyBorder="1" applyAlignment="1" applyProtection="1">
      <alignment horizontal="center" vertical="center"/>
      <protection hidden="1"/>
    </xf>
    <xf numFmtId="0" fontId="54" fillId="0" borderId="0" xfId="0" applyFont="1" applyBorder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165" fontId="33" fillId="0" borderId="125" xfId="0" applyNumberFormat="1" applyFont="1" applyBorder="1" applyAlignment="1" applyProtection="1">
      <alignment horizontal="center" vertical="center"/>
      <protection hidden="1"/>
    </xf>
    <xf numFmtId="165" fontId="33" fillId="0" borderId="1" xfId="0" applyNumberFormat="1" applyFont="1" applyBorder="1" applyAlignment="1" applyProtection="1">
      <alignment horizontal="center" vertical="center"/>
      <protection hidden="1"/>
    </xf>
    <xf numFmtId="165" fontId="33" fillId="0" borderId="136" xfId="0" applyNumberFormat="1" applyFont="1" applyBorder="1" applyAlignment="1" applyProtection="1">
      <alignment horizontal="center" vertical="center"/>
      <protection hidden="1"/>
    </xf>
    <xf numFmtId="0" fontId="38" fillId="0" borderId="125" xfId="0" applyFont="1" applyBorder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36" xfId="0" applyFont="1" applyBorder="1" applyAlignment="1" applyProtection="1">
      <alignment horizontal="center" vertical="center"/>
      <protection hidden="1"/>
    </xf>
    <xf numFmtId="165" fontId="33" fillId="0" borderId="53" xfId="0" applyNumberFormat="1" applyFont="1" applyBorder="1" applyAlignment="1" applyProtection="1">
      <alignment horizontal="center" vertical="center"/>
      <protection hidden="1"/>
    </xf>
    <xf numFmtId="165" fontId="33" fillId="0" borderId="71" xfId="0" applyNumberFormat="1" applyFont="1" applyBorder="1" applyAlignment="1" applyProtection="1">
      <alignment horizontal="center" vertical="center"/>
      <protection hidden="1"/>
    </xf>
    <xf numFmtId="165" fontId="33" fillId="0" borderId="135" xfId="0" applyNumberFormat="1" applyFont="1" applyBorder="1" applyAlignment="1" applyProtection="1">
      <alignment horizontal="center" vertical="center"/>
      <protection hidden="1"/>
    </xf>
    <xf numFmtId="165" fontId="38" fillId="0" borderId="53" xfId="0" applyNumberFormat="1" applyFont="1" applyBorder="1" applyAlignment="1" applyProtection="1">
      <alignment horizontal="center" vertical="center"/>
      <protection hidden="1"/>
    </xf>
    <xf numFmtId="165" fontId="38" fillId="0" borderId="71" xfId="0" applyNumberFormat="1" applyFont="1" applyBorder="1" applyAlignment="1" applyProtection="1">
      <alignment horizontal="center" vertical="center"/>
      <protection hidden="1"/>
    </xf>
    <xf numFmtId="165" fontId="38" fillId="0" borderId="135" xfId="0" applyNumberFormat="1" applyFont="1" applyBorder="1" applyAlignment="1" applyProtection="1">
      <alignment horizontal="center" vertical="center"/>
      <protection hidden="1"/>
    </xf>
    <xf numFmtId="165" fontId="38" fillId="0" borderId="125" xfId="0" applyNumberFormat="1" applyFont="1" applyBorder="1" applyAlignment="1" applyProtection="1">
      <alignment horizontal="center" vertical="center"/>
      <protection hidden="1"/>
    </xf>
    <xf numFmtId="165" fontId="38" fillId="0" borderId="1" xfId="0" applyNumberFormat="1" applyFont="1" applyBorder="1" applyAlignment="1" applyProtection="1">
      <alignment horizontal="center" vertical="center"/>
      <protection hidden="1"/>
    </xf>
    <xf numFmtId="165" fontId="38" fillId="0" borderId="136" xfId="0" applyNumberFormat="1" applyFont="1" applyBorder="1" applyAlignment="1" applyProtection="1">
      <alignment horizontal="center" vertical="center"/>
      <protection hidden="1"/>
    </xf>
    <xf numFmtId="0" fontId="38" fillId="0" borderId="53" xfId="0" applyNumberFormat="1" applyFont="1" applyBorder="1" applyAlignment="1" applyProtection="1">
      <alignment horizontal="center" vertical="center"/>
      <protection hidden="1"/>
    </xf>
    <xf numFmtId="0" fontId="38" fillId="0" borderId="135" xfId="0" applyNumberFormat="1" applyFont="1" applyBorder="1" applyAlignment="1" applyProtection="1">
      <alignment horizontal="center" vertical="center"/>
      <protection hidden="1"/>
    </xf>
    <xf numFmtId="0" fontId="38" fillId="0" borderId="53" xfId="10" applyFont="1" applyBorder="1" applyAlignment="1" applyProtection="1">
      <alignment horizontal="left" vertical="center"/>
      <protection hidden="1"/>
    </xf>
    <xf numFmtId="0" fontId="38" fillId="0" borderId="71" xfId="10" applyFont="1" applyBorder="1" applyAlignment="1" applyProtection="1">
      <alignment horizontal="left" vertical="center"/>
      <protection hidden="1"/>
    </xf>
    <xf numFmtId="0" fontId="38" fillId="0" borderId="135" xfId="10" applyFont="1" applyBorder="1" applyAlignment="1" applyProtection="1">
      <alignment horizontal="left" vertical="center"/>
      <protection hidden="1"/>
    </xf>
    <xf numFmtId="0" fontId="24" fillId="14" borderId="53" xfId="0" applyFont="1" applyFill="1" applyBorder="1" applyAlignment="1" applyProtection="1">
      <alignment horizontal="center" vertical="center"/>
      <protection hidden="1"/>
    </xf>
    <xf numFmtId="0" fontId="24" fillId="14" borderId="135" xfId="0" applyFont="1" applyFill="1" applyBorder="1" applyAlignment="1" applyProtection="1">
      <alignment horizontal="center" vertical="center"/>
      <protection hidden="1"/>
    </xf>
    <xf numFmtId="0" fontId="24" fillId="14" borderId="125" xfId="0" applyFont="1" applyFill="1" applyBorder="1" applyAlignment="1" applyProtection="1">
      <alignment horizontal="center" vertical="center"/>
      <protection hidden="1"/>
    </xf>
    <xf numFmtId="0" fontId="24" fillId="14" borderId="136" xfId="0" applyFont="1" applyFill="1" applyBorder="1" applyAlignment="1" applyProtection="1">
      <alignment horizontal="center" vertical="center"/>
      <protection hidden="1"/>
    </xf>
    <xf numFmtId="0" fontId="38" fillId="0" borderId="53" xfId="0" applyFont="1" applyBorder="1" applyAlignment="1" applyProtection="1">
      <alignment horizontal="center" vertical="center"/>
      <protection hidden="1"/>
    </xf>
    <xf numFmtId="0" fontId="38" fillId="0" borderId="71" xfId="0" applyFont="1" applyBorder="1" applyAlignment="1" applyProtection="1">
      <alignment horizontal="center" vertical="center"/>
      <protection hidden="1"/>
    </xf>
    <xf numFmtId="0" fontId="38" fillId="0" borderId="135" xfId="0" applyFont="1" applyBorder="1" applyAlignment="1" applyProtection="1">
      <alignment horizontal="center" vertical="center"/>
      <protection hidden="1"/>
    </xf>
    <xf numFmtId="0" fontId="38" fillId="0" borderId="125" xfId="10" applyFont="1" applyBorder="1" applyAlignment="1" applyProtection="1">
      <alignment horizontal="center" vertical="center"/>
      <protection hidden="1"/>
    </xf>
    <xf numFmtId="0" fontId="38" fillId="0" borderId="136" xfId="10" applyFont="1" applyBorder="1" applyAlignment="1" applyProtection="1">
      <alignment horizontal="center" vertical="center"/>
      <protection hidden="1"/>
    </xf>
    <xf numFmtId="0" fontId="24" fillId="0" borderId="146" xfId="0" applyFont="1" applyBorder="1" applyAlignment="1" applyProtection="1">
      <alignment horizontal="center" vertical="center"/>
      <protection hidden="1"/>
    </xf>
    <xf numFmtId="0" fontId="38" fillId="0" borderId="53" xfId="10" applyFont="1" applyBorder="1" applyAlignment="1" applyProtection="1">
      <alignment horizontal="center" vertical="center"/>
      <protection hidden="1"/>
    </xf>
    <xf numFmtId="0" fontId="38" fillId="0" borderId="135" xfId="10" applyFont="1" applyBorder="1" applyAlignment="1" applyProtection="1">
      <alignment horizontal="center" vertical="center"/>
      <protection hidden="1"/>
    </xf>
    <xf numFmtId="0" fontId="24" fillId="14" borderId="126" xfId="0" applyFont="1" applyFill="1" applyBorder="1" applyAlignment="1" applyProtection="1">
      <alignment horizontal="center" vertical="center"/>
      <protection hidden="1"/>
    </xf>
    <xf numFmtId="0" fontId="24" fillId="14" borderId="137" xfId="0" applyFont="1" applyFill="1" applyBorder="1" applyAlignment="1" applyProtection="1">
      <alignment horizontal="center" vertical="center"/>
      <protection hidden="1"/>
    </xf>
    <xf numFmtId="0" fontId="38" fillId="0" borderId="125" xfId="0" applyNumberFormat="1" applyFont="1" applyBorder="1" applyAlignment="1" applyProtection="1">
      <alignment horizontal="center" vertical="center"/>
      <protection hidden="1"/>
    </xf>
    <xf numFmtId="0" fontId="38" fillId="0" borderId="136" xfId="0" applyNumberFormat="1" applyFont="1" applyBorder="1" applyAlignment="1" applyProtection="1">
      <alignment horizontal="center" vertical="center"/>
      <protection hidden="1"/>
    </xf>
    <xf numFmtId="0" fontId="38" fillId="0" borderId="126" xfId="0" applyNumberFormat="1" applyFont="1" applyBorder="1" applyAlignment="1" applyProtection="1">
      <alignment horizontal="center" vertical="center"/>
      <protection hidden="1"/>
    </xf>
    <xf numFmtId="0" fontId="38" fillId="0" borderId="137" xfId="0" applyNumberFormat="1" applyFont="1" applyBorder="1" applyAlignment="1" applyProtection="1">
      <alignment horizontal="center" vertical="center"/>
      <protection hidden="1"/>
    </xf>
    <xf numFmtId="165" fontId="38" fillId="0" borderId="126" xfId="0" applyNumberFormat="1" applyFont="1" applyBorder="1" applyAlignment="1" applyProtection="1">
      <alignment horizontal="center" vertical="center"/>
      <protection hidden="1"/>
    </xf>
    <xf numFmtId="165" fontId="38" fillId="0" borderId="127" xfId="0" applyNumberFormat="1" applyFont="1" applyBorder="1" applyAlignment="1" applyProtection="1">
      <alignment horizontal="center" vertical="center"/>
      <protection hidden="1"/>
    </xf>
    <xf numFmtId="165" fontId="38" fillId="0" borderId="137" xfId="0" applyNumberFormat="1" applyFont="1" applyBorder="1" applyAlignment="1" applyProtection="1">
      <alignment horizontal="center" vertical="center"/>
      <protection hidden="1"/>
    </xf>
    <xf numFmtId="0" fontId="38" fillId="0" borderId="126" xfId="0" applyFont="1" applyBorder="1" applyAlignment="1" applyProtection="1">
      <alignment horizontal="center" vertical="center"/>
      <protection hidden="1"/>
    </xf>
    <xf numFmtId="0" fontId="38" fillId="0" borderId="127" xfId="0" applyFont="1" applyBorder="1" applyAlignment="1" applyProtection="1">
      <alignment horizontal="center" vertical="center"/>
      <protection hidden="1"/>
    </xf>
    <xf numFmtId="0" fontId="38" fillId="0" borderId="137" xfId="0" applyFont="1" applyBorder="1" applyAlignment="1" applyProtection="1">
      <alignment horizontal="center" vertical="center"/>
      <protection hidden="1"/>
    </xf>
    <xf numFmtId="165" fontId="33" fillId="0" borderId="126" xfId="0" applyNumberFormat="1" applyFont="1" applyBorder="1" applyAlignment="1" applyProtection="1">
      <alignment horizontal="center" vertical="center"/>
      <protection hidden="1"/>
    </xf>
    <xf numFmtId="165" fontId="33" fillId="0" borderId="127" xfId="0" applyNumberFormat="1" applyFont="1" applyBorder="1" applyAlignment="1" applyProtection="1">
      <alignment horizontal="center" vertical="center"/>
      <protection hidden="1"/>
    </xf>
    <xf numFmtId="165" fontId="33" fillId="0" borderId="137" xfId="0" applyNumberFormat="1" applyFont="1" applyBorder="1" applyAlignment="1" applyProtection="1">
      <alignment horizontal="center" vertical="center"/>
      <protection hidden="1"/>
    </xf>
    <xf numFmtId="0" fontId="38" fillId="0" borderId="126" xfId="10" applyFont="1" applyBorder="1" applyAlignment="1" applyProtection="1">
      <alignment horizontal="center" vertical="center"/>
      <protection hidden="1"/>
    </xf>
    <xf numFmtId="0" fontId="38" fillId="0" borderId="137" xfId="10" applyFont="1" applyBorder="1" applyAlignment="1" applyProtection="1">
      <alignment horizontal="center" vertical="center"/>
      <protection hidden="1"/>
    </xf>
    <xf numFmtId="0" fontId="38" fillId="0" borderId="125" xfId="10" applyFont="1" applyBorder="1" applyAlignment="1" applyProtection="1">
      <alignment horizontal="left" vertical="center"/>
      <protection hidden="1"/>
    </xf>
    <xf numFmtId="0" fontId="38" fillId="0" borderId="1" xfId="10" applyFont="1" applyBorder="1" applyAlignment="1" applyProtection="1">
      <alignment horizontal="left" vertical="center"/>
      <protection hidden="1"/>
    </xf>
    <xf numFmtId="0" fontId="38" fillId="0" borderId="136" xfId="10" applyFont="1" applyBorder="1" applyAlignment="1" applyProtection="1">
      <alignment horizontal="left" vertical="center"/>
      <protection hidden="1"/>
    </xf>
    <xf numFmtId="0" fontId="38" fillId="0" borderId="126" xfId="10" applyFont="1" applyBorder="1" applyAlignment="1" applyProtection="1">
      <alignment horizontal="left" vertical="center"/>
      <protection hidden="1"/>
    </xf>
    <xf numFmtId="0" fontId="38" fillId="0" borderId="127" xfId="10" applyFont="1" applyBorder="1" applyAlignment="1" applyProtection="1">
      <alignment horizontal="left" vertical="center"/>
      <protection hidden="1"/>
    </xf>
    <xf numFmtId="0" fontId="38" fillId="0" borderId="137" xfId="10" applyFont="1" applyBorder="1" applyAlignment="1" applyProtection="1">
      <alignment horizontal="left" vertical="center"/>
      <protection hidden="1"/>
    </xf>
    <xf numFmtId="0" fontId="72" fillId="0" borderId="0" xfId="0" applyFont="1" applyBorder="1" applyAlignment="1" applyProtection="1">
      <alignment horizontal="center" vertical="center"/>
      <protection hidden="1"/>
    </xf>
    <xf numFmtId="0" fontId="72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</xf>
    <xf numFmtId="171" fontId="68" fillId="0" borderId="0" xfId="0" applyNumberFormat="1" applyFont="1" applyBorder="1" applyAlignment="1" applyProtection="1">
      <alignment horizontal="center" vertical="center"/>
      <protection hidden="1"/>
    </xf>
    <xf numFmtId="0" fontId="57" fillId="0" borderId="0" xfId="0" applyFont="1" applyBorder="1" applyAlignment="1" applyProtection="1">
      <alignment horizontal="center" vertical="center"/>
      <protection hidden="1"/>
    </xf>
    <xf numFmtId="0" fontId="68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62" xfId="10" applyFont="1" applyBorder="1" applyAlignment="1" applyProtection="1">
      <alignment vertical="top"/>
      <protection hidden="1"/>
    </xf>
    <xf numFmtId="0" fontId="44" fillId="0" borderId="63" xfId="10" applyFont="1" applyBorder="1" applyAlignment="1" applyProtection="1">
      <alignment vertical="top"/>
      <protection hidden="1"/>
    </xf>
    <xf numFmtId="0" fontId="46" fillId="0" borderId="62" xfId="0" applyFont="1" applyFill="1" applyBorder="1" applyAlignment="1" applyProtection="1">
      <alignment vertical="top"/>
      <protection hidden="1"/>
    </xf>
    <xf numFmtId="0" fontId="46" fillId="0" borderId="63" xfId="0" applyFont="1" applyFill="1" applyBorder="1" applyAlignment="1" applyProtection="1">
      <alignment vertical="top"/>
      <protection hidden="1"/>
    </xf>
    <xf numFmtId="0" fontId="46" fillId="0" borderId="63" xfId="0" applyFont="1" applyFill="1" applyBorder="1" applyAlignment="1" applyProtection="1">
      <alignment horizontal="center" vertical="top"/>
      <protection hidden="1"/>
    </xf>
    <xf numFmtId="0" fontId="46" fillId="0" borderId="108" xfId="0" applyFont="1" applyFill="1" applyBorder="1" applyAlignment="1" applyProtection="1">
      <alignment horizontal="center" vertical="top"/>
      <protection hidden="1"/>
    </xf>
    <xf numFmtId="0" fontId="46" fillId="0" borderId="62" xfId="10" applyFont="1" applyBorder="1" applyAlignment="1" applyProtection="1">
      <alignment vertical="top"/>
      <protection hidden="1"/>
    </xf>
    <xf numFmtId="0" fontId="46" fillId="0" borderId="63" xfId="10" applyFont="1" applyBorder="1" applyAlignment="1" applyProtection="1">
      <alignment vertical="top"/>
      <protection hidden="1"/>
    </xf>
    <xf numFmtId="0" fontId="40" fillId="0" borderId="0" xfId="0" applyFont="1" applyAlignment="1" applyProtection="1">
      <alignment horizontal="center" vertical="center"/>
    </xf>
    <xf numFmtId="20" fontId="73" fillId="0" borderId="0" xfId="0" applyNumberFormat="1" applyFont="1" applyAlignment="1" applyProtection="1">
      <alignment horizontal="center" vertical="center"/>
    </xf>
    <xf numFmtId="0" fontId="73" fillId="0" borderId="0" xfId="0" applyFont="1" applyAlignment="1" applyProtection="1">
      <alignment horizontal="center" vertical="center"/>
    </xf>
    <xf numFmtId="20" fontId="73" fillId="0" borderId="0" xfId="0" applyNumberFormat="1" applyFont="1" applyFill="1" applyBorder="1" applyAlignment="1" applyProtection="1">
      <alignment horizontal="center" vertical="center"/>
    </xf>
    <xf numFmtId="0" fontId="73" fillId="0" borderId="0" xfId="0" applyFont="1" applyFill="1" applyBorder="1" applyAlignment="1" applyProtection="1">
      <alignment horizontal="center" vertical="center"/>
    </xf>
    <xf numFmtId="0" fontId="44" fillId="0" borderId="63" xfId="10" applyFont="1" applyBorder="1" applyAlignment="1" applyProtection="1">
      <alignment horizontal="left" vertical="center"/>
      <protection hidden="1"/>
    </xf>
    <xf numFmtId="0" fontId="44" fillId="0" borderId="63" xfId="10" applyFont="1" applyBorder="1" applyAlignment="1" applyProtection="1">
      <alignment horizontal="left" vertical="center"/>
    </xf>
    <xf numFmtId="0" fontId="44" fillId="0" borderId="63" xfId="0" applyFont="1" applyFill="1" applyBorder="1" applyAlignment="1" applyProtection="1">
      <alignment horizontal="center" vertical="center"/>
    </xf>
    <xf numFmtId="0" fontId="44" fillId="0" borderId="63" xfId="0" applyFont="1" applyFill="1" applyBorder="1" applyAlignment="1" applyProtection="1">
      <alignment horizontal="center" vertical="center"/>
      <protection hidden="1"/>
    </xf>
    <xf numFmtId="0" fontId="44" fillId="0" borderId="108" xfId="0" applyFont="1" applyFill="1" applyBorder="1" applyAlignment="1" applyProtection="1">
      <alignment horizontal="center" vertical="center"/>
      <protection hidden="1"/>
    </xf>
    <xf numFmtId="0" fontId="48" fillId="0" borderId="79" xfId="8" applyFont="1" applyBorder="1" applyAlignment="1" applyProtection="1">
      <alignment horizontal="center" vertical="center"/>
      <protection locked="0" hidden="1"/>
    </xf>
    <xf numFmtId="0" fontId="48" fillId="0" borderId="23" xfId="8" applyFont="1" applyBorder="1" applyAlignment="1" applyProtection="1">
      <alignment horizontal="center" vertical="center"/>
      <protection locked="0" hidden="1"/>
    </xf>
    <xf numFmtId="0" fontId="21" fillId="0" borderId="0" xfId="10" applyFont="1" applyBorder="1" applyAlignment="1" applyProtection="1">
      <alignment horizontal="center" vertical="center"/>
      <protection hidden="1"/>
    </xf>
    <xf numFmtId="0" fontId="44" fillId="0" borderId="108" xfId="0" applyFont="1" applyFill="1" applyBorder="1" applyAlignment="1" applyProtection="1">
      <alignment horizontal="center" vertical="center"/>
    </xf>
    <xf numFmtId="0" fontId="44" fillId="0" borderId="63" xfId="0" applyFont="1" applyFill="1" applyBorder="1" applyAlignment="1" applyProtection="1">
      <alignment vertical="top"/>
      <protection hidden="1"/>
    </xf>
    <xf numFmtId="0" fontId="44" fillId="0" borderId="108" xfId="0" applyFont="1" applyFill="1" applyBorder="1" applyAlignment="1" applyProtection="1">
      <alignment vertical="top"/>
      <protection hidden="1"/>
    </xf>
    <xf numFmtId="0" fontId="21" fillId="0" borderId="63" xfId="0" applyFont="1" applyFill="1" applyBorder="1" applyAlignment="1" applyProtection="1">
      <alignment horizontal="center" vertical="center"/>
    </xf>
    <xf numFmtId="0" fontId="21" fillId="0" borderId="108" xfId="0" applyFont="1" applyFill="1" applyBorder="1" applyAlignment="1" applyProtection="1">
      <alignment horizontal="center" vertical="center"/>
    </xf>
    <xf numFmtId="0" fontId="44" fillId="0" borderId="63" xfId="0" applyFont="1" applyFill="1" applyBorder="1" applyAlignment="1" applyProtection="1">
      <alignment horizontal="center" vertical="top"/>
      <protection hidden="1"/>
    </xf>
    <xf numFmtId="0" fontId="44" fillId="0" borderId="108" xfId="0" applyFont="1" applyFill="1" applyBorder="1" applyAlignment="1" applyProtection="1">
      <alignment horizontal="center" vertical="top"/>
      <protection hidden="1"/>
    </xf>
    <xf numFmtId="0" fontId="44" fillId="0" borderId="62" xfId="0" applyFont="1" applyFill="1" applyBorder="1" applyAlignment="1" applyProtection="1">
      <alignment vertical="top"/>
      <protection hidden="1"/>
    </xf>
    <xf numFmtId="0" fontId="69" fillId="0" borderId="1" xfId="0" applyFont="1" applyBorder="1" applyAlignment="1" applyProtection="1">
      <alignment horizontal="center" vertical="center"/>
      <protection hidden="1"/>
    </xf>
    <xf numFmtId="171" fontId="77" fillId="0" borderId="1" xfId="0" applyNumberFormat="1" applyFont="1" applyBorder="1" applyAlignment="1" applyProtection="1">
      <alignment horizontal="center" vertical="center"/>
      <protection hidden="1"/>
    </xf>
    <xf numFmtId="0" fontId="77" fillId="0" borderId="1" xfId="0" applyFont="1" applyBorder="1" applyAlignment="1" applyProtection="1">
      <alignment horizontal="center" vertical="center"/>
      <protection hidden="1"/>
    </xf>
    <xf numFmtId="0" fontId="57" fillId="4" borderId="0" xfId="8" applyFont="1" applyFill="1" applyAlignment="1" applyProtection="1">
      <alignment horizontal="center" vertical="center"/>
      <protection hidden="1"/>
    </xf>
    <xf numFmtId="0" fontId="30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19" fillId="0" borderId="72" xfId="1" applyFont="1" applyBorder="1" applyAlignment="1" applyProtection="1">
      <alignment horizontal="center" vertical="center"/>
      <protection hidden="1"/>
    </xf>
    <xf numFmtId="0" fontId="19" fillId="0" borderId="68" xfId="1" applyFont="1" applyBorder="1" applyAlignment="1" applyProtection="1">
      <alignment horizontal="center" vertical="center"/>
      <protection hidden="1"/>
    </xf>
    <xf numFmtId="0" fontId="31" fillId="0" borderId="1" xfId="1" applyFont="1" applyBorder="1" applyAlignment="1" applyProtection="1">
      <alignment horizontal="center"/>
      <protection hidden="1"/>
    </xf>
    <xf numFmtId="0" fontId="38" fillId="0" borderId="1" xfId="1" applyFont="1" applyBorder="1" applyAlignment="1" applyProtection="1">
      <alignment horizontal="center"/>
      <protection hidden="1"/>
    </xf>
    <xf numFmtId="171" fontId="38" fillId="0" borderId="1" xfId="1" applyNumberFormat="1" applyFont="1" applyBorder="1" applyAlignment="1" applyProtection="1">
      <alignment horizontal="center"/>
      <protection hidden="1"/>
    </xf>
    <xf numFmtId="0" fontId="19" fillId="4" borderId="48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30" fillId="4" borderId="79" xfId="7" applyFont="1" applyFill="1" applyBorder="1" applyAlignment="1">
      <alignment horizontal="center" vertical="center"/>
    </xf>
    <xf numFmtId="0" fontId="30" fillId="4" borderId="74" xfId="7" applyFont="1" applyFill="1" applyBorder="1" applyAlignment="1">
      <alignment horizontal="center" vertical="center"/>
    </xf>
    <xf numFmtId="0" fontId="30" fillId="4" borderId="23" xfId="7" applyFont="1" applyFill="1" applyBorder="1" applyAlignment="1">
      <alignment horizontal="center" vertical="center"/>
    </xf>
    <xf numFmtId="0" fontId="21" fillId="0" borderId="48" xfId="7" applyFont="1" applyBorder="1" applyAlignment="1">
      <alignment horizontal="center" vertical="center"/>
    </xf>
    <xf numFmtId="0" fontId="21" fillId="0" borderId="0" xfId="7" applyFont="1" applyBorder="1" applyAlignment="1">
      <alignment horizontal="center" vertical="center"/>
    </xf>
    <xf numFmtId="0" fontId="51" fillId="0" borderId="79" xfId="7" applyFont="1" applyBorder="1" applyAlignment="1">
      <alignment horizontal="center" vertical="center"/>
    </xf>
    <xf numFmtId="0" fontId="51" fillId="0" borderId="74" xfId="7" applyFont="1" applyBorder="1" applyAlignment="1">
      <alignment horizontal="center" vertical="center"/>
    </xf>
    <xf numFmtId="0" fontId="51" fillId="0" borderId="23" xfId="7" applyFont="1" applyBorder="1" applyAlignment="1">
      <alignment horizontal="center" vertical="center"/>
    </xf>
    <xf numFmtId="0" fontId="30" fillId="0" borderId="48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4" fillId="0" borderId="48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20" fontId="30" fillId="0" borderId="0" xfId="0" applyNumberFormat="1" applyFont="1" applyBorder="1" applyAlignment="1">
      <alignment horizontal="left" vertical="center"/>
    </xf>
  </cellXfs>
  <cellStyles count="11">
    <cellStyle name="Normal" xfId="0" builtinId="0"/>
    <cellStyle name="Normal_CADETS" xfId="1"/>
    <cellStyle name="Normal_Engagés B" xfId="2"/>
    <cellStyle name="Normal_Feuil1" xfId="3"/>
    <cellStyle name="Normal_POULE B" xfId="4"/>
    <cellStyle name="Normal_POULES34" xfId="5"/>
    <cellStyle name="Normal_SD24j-5m" xfId="6"/>
    <cellStyle name="Normal_SM" xfId="7"/>
    <cellStyle name="Normal_TABKO32" xfId="8"/>
    <cellStyle name="Normal_Tableau A - Dames NC, 75 et 80" xfId="9"/>
    <cellStyle name="Normal_Tableau B" xfId="1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11430</xdr:rowOff>
    </xdr:from>
    <xdr:to>
      <xdr:col>14</xdr:col>
      <xdr:colOff>219075</xdr:colOff>
      <xdr:row>1</xdr:row>
      <xdr:rowOff>142925</xdr:rowOff>
    </xdr:to>
    <xdr:sp macro="" textlink="">
      <xdr:nvSpPr>
        <xdr:cNvPr id="2051" name="DownRibbonSharp"/>
        <xdr:cNvSpPr>
          <a:spLocks noEditPoints="1" noChangeArrowheads="1"/>
        </xdr:cNvSpPr>
      </xdr:nvSpPr>
      <xdr:spPr bwMode="auto">
        <a:xfrm>
          <a:off x="5528310" y="11430"/>
          <a:ext cx="4154805" cy="314375"/>
        </a:xfrm>
        <a:custGeom>
          <a:avLst/>
          <a:gdLst>
            <a:gd name="G0" fmla="+- 0 0 0"/>
            <a:gd name="G1" fmla="+- 5400 0 0"/>
            <a:gd name="G2" fmla="+- 5400 2700 0"/>
            <a:gd name="G3" fmla="+- 21600 0 G2"/>
            <a:gd name="G4" fmla="+- 21600 0 G1"/>
            <a:gd name="G5" fmla="+- 21600 0 2700"/>
            <a:gd name="G6" fmla="*/ G5 1 2"/>
            <a:gd name="G7" fmla="+- 2700 0 0"/>
            <a:gd name="T0" fmla="*/ 10800 w 21600"/>
            <a:gd name="T1" fmla="*/ 2700 h 21600"/>
            <a:gd name="T2" fmla="*/ 2700 w 21600"/>
            <a:gd name="T3" fmla="*/ 9450 h 21600"/>
            <a:gd name="T4" fmla="*/ 10800 w 21600"/>
            <a:gd name="T5" fmla="*/ 21600 h 21600"/>
            <a:gd name="T6" fmla="*/ 18900 w 21600"/>
            <a:gd name="T7" fmla="*/ 945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G1 w 21600"/>
            <a:gd name="T13" fmla="*/ G7 h 21600"/>
            <a:gd name="T14" fmla="*/ G4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 extrusionOk="0">
              <a:moveTo>
                <a:pt x="0" y="0"/>
              </a:moveTo>
              <a:lnTo>
                <a:pt x="8100" y="0"/>
              </a:lnTo>
              <a:lnTo>
                <a:pt x="8100" y="2700"/>
              </a:lnTo>
              <a:lnTo>
                <a:pt x="13500" y="2700"/>
              </a:lnTo>
              <a:lnTo>
                <a:pt x="13500" y="0"/>
              </a:lnTo>
              <a:lnTo>
                <a:pt x="21600" y="0"/>
              </a:lnTo>
              <a:lnTo>
                <a:pt x="18900" y="9450"/>
              </a:lnTo>
              <a:lnTo>
                <a:pt x="21600" y="18900"/>
              </a:lnTo>
              <a:lnTo>
                <a:pt x="16200" y="18900"/>
              </a:lnTo>
              <a:lnTo>
                <a:pt x="16200" y="21600"/>
              </a:lnTo>
              <a:lnTo>
                <a:pt x="5400" y="21600"/>
              </a:lnTo>
              <a:lnTo>
                <a:pt x="5400" y="18900"/>
              </a:lnTo>
              <a:lnTo>
                <a:pt x="0" y="18900"/>
              </a:lnTo>
              <a:lnTo>
                <a:pt x="2700" y="9450"/>
              </a:lnTo>
              <a:close/>
            </a:path>
            <a:path w="21600" h="21600" fill="none" extrusionOk="0">
              <a:moveTo>
                <a:pt x="8100" y="2700"/>
              </a:moveTo>
              <a:lnTo>
                <a:pt x="5400" y="2700"/>
              </a:lnTo>
              <a:lnTo>
                <a:pt x="5400" y="18900"/>
              </a:lnTo>
            </a:path>
            <a:path w="21600" h="21600" fill="none" extrusionOk="0">
              <a:moveTo>
                <a:pt x="5400" y="2700"/>
              </a:moveTo>
              <a:lnTo>
                <a:pt x="8100" y="0"/>
              </a:lnTo>
            </a:path>
            <a:path w="21600" h="21600" fill="none" extrusionOk="0">
              <a:moveTo>
                <a:pt x="13500" y="2700"/>
              </a:moveTo>
              <a:lnTo>
                <a:pt x="16200" y="2700"/>
              </a:lnTo>
              <a:lnTo>
                <a:pt x="16200" y="18900"/>
              </a:lnTo>
            </a:path>
            <a:path w="21600" h="21600" fill="none" extrusionOk="0">
              <a:moveTo>
                <a:pt x="16200" y="2700"/>
              </a:moveTo>
              <a:lnTo>
                <a:pt x="13500" y="0"/>
              </a:lnTo>
            </a:path>
          </a:pathLst>
        </a:cu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FF"/>
              </a:solidFill>
              <a:latin typeface="MS Sans Serif"/>
            </a:rPr>
            <a:t>Utilisation du classeur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200025</xdr:colOff>
          <xdr:row>2</xdr:row>
          <xdr:rowOff>76200</xdr:rowOff>
        </xdr:from>
        <xdr:to>
          <xdr:col>12</xdr:col>
          <xdr:colOff>666750</xdr:colOff>
          <xdr:row>3</xdr:row>
          <xdr:rowOff>133350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993366"/>
                  </a:solidFill>
                  <a:latin typeface="MS Sans Serif"/>
                </a:rPr>
                <a:t>poules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228600</xdr:colOff>
          <xdr:row>5</xdr:row>
          <xdr:rowOff>133350</xdr:rowOff>
        </xdr:from>
        <xdr:to>
          <xdr:col>12</xdr:col>
          <xdr:colOff>695325</xdr:colOff>
          <xdr:row>6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200" b="1" i="0" u="none" strike="noStrike" baseline="0">
                  <a:solidFill>
                    <a:srgbClr val="993366"/>
                  </a:solidFill>
                  <a:latin typeface="MS Sans Serif"/>
                </a:rPr>
                <a:t>Tableau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25400</xdr:colOff>
      <xdr:row>23</xdr:row>
      <xdr:rowOff>177800</xdr:rowOff>
    </xdr:from>
    <xdr:to>
      <xdr:col>26</xdr:col>
      <xdr:colOff>356620</xdr:colOff>
      <xdr:row>28</xdr:row>
      <xdr:rowOff>12700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7632700"/>
          <a:ext cx="1817120" cy="1536700"/>
        </a:xfrm>
        <a:prstGeom prst="rect">
          <a:avLst/>
        </a:prstGeom>
      </xdr:spPr>
    </xdr:pic>
    <xdr:clientData/>
  </xdr:twoCellAnchor>
  <xdr:twoCellAnchor editAs="oneCell">
    <xdr:from>
      <xdr:col>22</xdr:col>
      <xdr:colOff>76200</xdr:colOff>
      <xdr:row>52</xdr:row>
      <xdr:rowOff>190500</xdr:rowOff>
    </xdr:from>
    <xdr:to>
      <xdr:col>26</xdr:col>
      <xdr:colOff>407420</xdr:colOff>
      <xdr:row>57</xdr:row>
      <xdr:rowOff>25400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6000" y="17284700"/>
          <a:ext cx="1817120" cy="153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12700</xdr:colOff>
      <xdr:row>23</xdr:row>
      <xdr:rowOff>57386</xdr:rowOff>
    </xdr:from>
    <xdr:to>
      <xdr:col>26</xdr:col>
      <xdr:colOff>165100</xdr:colOff>
      <xdr:row>27</xdr:row>
      <xdr:rowOff>228600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7143986"/>
          <a:ext cx="1524000" cy="1288814"/>
        </a:xfrm>
        <a:prstGeom prst="rect">
          <a:avLst/>
        </a:prstGeom>
      </xdr:spPr>
    </xdr:pic>
    <xdr:clientData/>
  </xdr:twoCellAnchor>
  <xdr:twoCellAnchor editAs="oneCell">
    <xdr:from>
      <xdr:col>23</xdr:col>
      <xdr:colOff>25400</xdr:colOff>
      <xdr:row>52</xdr:row>
      <xdr:rowOff>50800</xdr:rowOff>
    </xdr:from>
    <xdr:to>
      <xdr:col>26</xdr:col>
      <xdr:colOff>177800</xdr:colOff>
      <xdr:row>56</xdr:row>
      <xdr:rowOff>222014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5400" y="16383000"/>
          <a:ext cx="1524000" cy="12888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495300</xdr:colOff>
      <xdr:row>37</xdr:row>
      <xdr:rowOff>235342</xdr:rowOff>
    </xdr:from>
    <xdr:to>
      <xdr:col>17</xdr:col>
      <xdr:colOff>12700</xdr:colOff>
      <xdr:row>44</xdr:row>
      <xdr:rowOff>63500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5145142"/>
          <a:ext cx="1854200" cy="1568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114300</xdr:rowOff>
        </xdr:from>
        <xdr:to>
          <xdr:col>16</xdr:col>
          <xdr:colOff>276225</xdr:colOff>
          <xdr:row>6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339966"/>
                  </a:solidFill>
                  <a:latin typeface="MS Sans Serif"/>
                </a:rPr>
                <a:t>impression barrages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5</xdr:row>
          <xdr:rowOff>0</xdr:rowOff>
        </xdr:from>
        <xdr:to>
          <xdr:col>11</xdr:col>
          <xdr:colOff>590550</xdr:colOff>
          <xdr:row>6</xdr:row>
          <xdr:rowOff>57150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1/4 F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66675</xdr:colOff>
          <xdr:row>5</xdr:row>
          <xdr:rowOff>28575</xdr:rowOff>
        </xdr:from>
        <xdr:to>
          <xdr:col>19</xdr:col>
          <xdr:colOff>704850</xdr:colOff>
          <xdr:row>6</xdr:row>
          <xdr:rowOff>47625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350" b="1" i="0" u="none" strike="noStrike" baseline="0">
                  <a:solidFill>
                    <a:srgbClr val="339966"/>
                  </a:solidFill>
                  <a:latin typeface="MS Sans Serif"/>
                </a:rPr>
                <a:t>1/4 Finale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5</xdr:row>
          <xdr:rowOff>9525</xdr:rowOff>
        </xdr:from>
        <xdr:to>
          <xdr:col>8</xdr:col>
          <xdr:colOff>533400</xdr:colOff>
          <xdr:row>6</xdr:row>
          <xdr:rowOff>19050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339966"/>
                  </a:solidFill>
                  <a:latin typeface="MS Sans Serif"/>
                </a:rPr>
                <a:t>1/2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</xdr:row>
          <xdr:rowOff>247650</xdr:rowOff>
        </xdr:from>
        <xdr:to>
          <xdr:col>22</xdr:col>
          <xdr:colOff>695325</xdr:colOff>
          <xdr:row>6</xdr:row>
          <xdr:rowOff>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339966"/>
                  </a:solidFill>
                  <a:latin typeface="MS Sans Serif"/>
                </a:rPr>
                <a:t>1/2 Finale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238125</xdr:colOff>
          <xdr:row>5</xdr:row>
          <xdr:rowOff>9525</xdr:rowOff>
        </xdr:from>
        <xdr:to>
          <xdr:col>5</xdr:col>
          <xdr:colOff>600075</xdr:colOff>
          <xdr:row>6</xdr:row>
          <xdr:rowOff>9525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339966"/>
                  </a:solidFill>
                  <a:latin typeface="MS Sans Serif"/>
                </a:rPr>
                <a:t>Finale KO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5</xdr:row>
          <xdr:rowOff>9525</xdr:rowOff>
        </xdr:from>
        <xdr:to>
          <xdr:col>25</xdr:col>
          <xdr:colOff>476250</xdr:colOff>
          <xdr:row>6</xdr:row>
          <xdr:rowOff>19050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339966"/>
                  </a:solidFill>
                  <a:latin typeface="MS Sans Serif"/>
                </a:rPr>
                <a:t>Finale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13</xdr:col>
      <xdr:colOff>55419</xdr:colOff>
      <xdr:row>32</xdr:row>
      <xdr:rowOff>11032</xdr:rowOff>
    </xdr:from>
    <xdr:to>
      <xdr:col>17</xdr:col>
      <xdr:colOff>14260</xdr:colOff>
      <xdr:row>36</xdr:row>
      <xdr:rowOff>13854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6364" y="10665177"/>
          <a:ext cx="1510551" cy="12774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670560</xdr:colOff>
      <xdr:row>23</xdr:row>
      <xdr:rowOff>125729</xdr:rowOff>
    </xdr:from>
    <xdr:to>
      <xdr:col>6</xdr:col>
      <xdr:colOff>2222500</xdr:colOff>
      <xdr:row>30</xdr:row>
      <xdr:rowOff>130856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360" y="5916929"/>
          <a:ext cx="1551940" cy="13259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Mes%20documents\FFTT\CFA\Poules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WINDOWS\TEMP\Tableau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FFTT\CFA\Comp&#233;titions\CORPO\Base%20de%20Travail\Tableau%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FFTT\CFA\Comp&#233;titions\CORPO\Corpo2000\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FFTT\Crit&#233;rium%20F&#233;d&#233;ral\TAB32CF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FFTT\CFA\Comp&#233;titions\France%20Cadets-Juniors\DXJ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Epreuves%20Pingpong\Criterium%20Federal\2001-02\REG%20T2%20-%20CG%20MG%20BG%20CF%20MF%20BF\Mes%20documents\FFTT\CFA\Comp&#233;titions\V&#233;t&#233;rans\Edition%202001\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Poule de 9 en 5M"/>
      <sheetName val="Part P9-5"/>
      <sheetName val="Top 12"/>
      <sheetName val="Part 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A-B"/>
      <sheetName val="POULES C-D"/>
      <sheetName val="Fiches de parties des poules"/>
      <sheetName val="Tableau"/>
      <sheetName val="Fiches de parties"/>
      <sheetName val="Classement"/>
      <sheetName val="Serpent"/>
      <sheetName val="Repères d'impression"/>
      <sheetName val="Feuil1"/>
    </sheetNames>
    <sheetDataSet>
      <sheetData sheetId="0">
        <row r="1">
          <cell r="A1" t="str">
            <v>FEDERATION FRANCAISE</v>
          </cell>
          <cell r="H1" t="str">
            <v>SAISON 2000 / 2001</v>
          </cell>
        </row>
        <row r="2">
          <cell r="A2" t="str">
            <v>DE TENNIS DE TABLE</v>
          </cell>
        </row>
        <row r="4">
          <cell r="B4">
            <v>36926</v>
          </cell>
        </row>
        <row r="5">
          <cell r="A5" t="str">
            <v>CRITERIUM FEDERAL NATIONAL 1</v>
          </cell>
        </row>
        <row r="6">
          <cell r="A6" t="str">
            <v>JUNIORS FILLES</v>
          </cell>
        </row>
        <row r="7">
          <cell r="A7" t="str">
            <v>ERNEE ( 53 )</v>
          </cell>
        </row>
        <row r="8">
          <cell r="D8" t="str">
            <v>4ème Tour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Fiches de parties poules  1-8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</sheetNames>
    <sheetDataSet>
      <sheetData sheetId="0" refreshError="1">
        <row r="5">
          <cell r="A5" t="str">
            <v>CHAMPIONNAT DE FRANCE CORPO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</sheetNames>
    <sheetDataSet>
      <sheetData sheetId="0" refreshError="1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92D050"/>
  </sheetPr>
  <dimension ref="A1:M40"/>
  <sheetViews>
    <sheetView workbookViewId="0">
      <selection activeCell="B3" sqref="B3:C3"/>
    </sheetView>
  </sheetViews>
  <sheetFormatPr baseColWidth="10" defaultColWidth="11.5703125" defaultRowHeight="12.75" x14ac:dyDescent="0.2"/>
  <cols>
    <col min="1" max="1" width="13.7109375" style="570" customWidth="1"/>
    <col min="2" max="2" width="13.5703125" style="570" customWidth="1"/>
    <col min="3" max="3" width="11.28515625" style="606" customWidth="1"/>
    <col min="4" max="4" width="9.7109375" style="570" customWidth="1"/>
    <col min="5" max="5" width="13.85546875" style="570" customWidth="1"/>
    <col min="6" max="7" width="11.5703125" style="570"/>
    <col min="8" max="8" width="1.42578125" style="575" customWidth="1"/>
    <col min="9" max="9" width="3.42578125" style="570" customWidth="1"/>
    <col min="10" max="13" width="11.5703125" style="570"/>
    <col min="14" max="14" width="1.7109375" style="570" customWidth="1"/>
    <col min="15" max="16384" width="11.5703125" style="570"/>
  </cols>
  <sheetData>
    <row r="1" spans="1:13" ht="13.5" thickTop="1" x14ac:dyDescent="0.2">
      <c r="A1" s="639" t="s">
        <v>254</v>
      </c>
      <c r="B1" s="640"/>
      <c r="C1" s="640"/>
      <c r="D1" s="569" t="s">
        <v>190</v>
      </c>
      <c r="E1" s="560" t="s">
        <v>255</v>
      </c>
      <c r="G1" s="571" t="s">
        <v>167</v>
      </c>
      <c r="H1" s="572"/>
      <c r="I1" s="571" t="s">
        <v>21</v>
      </c>
    </row>
    <row r="2" spans="1:13" x14ac:dyDescent="0.2">
      <c r="A2" s="573" t="s">
        <v>132</v>
      </c>
      <c r="B2" s="641" t="s">
        <v>256</v>
      </c>
      <c r="C2" s="641"/>
      <c r="D2" s="574" t="s">
        <v>192</v>
      </c>
      <c r="E2" s="561">
        <v>1</v>
      </c>
    </row>
    <row r="3" spans="1:13" x14ac:dyDescent="0.2">
      <c r="A3" s="573" t="s">
        <v>11</v>
      </c>
      <c r="B3" s="641" t="s">
        <v>276</v>
      </c>
      <c r="C3" s="641"/>
      <c r="D3" s="576"/>
      <c r="E3" s="577"/>
    </row>
    <row r="4" spans="1:13" ht="13.5" thickBot="1" x14ac:dyDescent="0.25">
      <c r="A4" s="578" t="s">
        <v>133</v>
      </c>
      <c r="B4" s="642">
        <v>43421</v>
      </c>
      <c r="C4" s="642"/>
      <c r="D4" s="579" t="s">
        <v>191</v>
      </c>
      <c r="E4" s="562"/>
      <c r="F4" s="571" t="str">
        <f>IF(E4="Dimanche",G1,I1)</f>
        <v>Sa</v>
      </c>
      <c r="I4" s="580">
        <v>1</v>
      </c>
      <c r="J4" s="581" t="s">
        <v>175</v>
      </c>
    </row>
    <row r="5" spans="1:13" s="575" customFormat="1" ht="14.25" thickTop="1" thickBot="1" x14ac:dyDescent="0.25">
      <c r="B5" s="582"/>
      <c r="C5" s="582"/>
      <c r="D5" s="583"/>
      <c r="E5" s="583"/>
      <c r="I5" s="584"/>
    </row>
    <row r="6" spans="1:13" ht="14.25" thickTop="1" thickBot="1" x14ac:dyDescent="0.25">
      <c r="A6" s="585" t="s">
        <v>146</v>
      </c>
      <c r="B6" s="586" t="s">
        <v>148</v>
      </c>
      <c r="C6" s="587" t="s">
        <v>142</v>
      </c>
      <c r="E6" s="580" t="s">
        <v>193</v>
      </c>
      <c r="F6" s="588"/>
      <c r="I6" s="580"/>
    </row>
    <row r="7" spans="1:13" ht="13.5" thickBot="1" x14ac:dyDescent="0.25">
      <c r="A7" s="589" t="s">
        <v>141</v>
      </c>
      <c r="B7" s="563"/>
      <c r="C7" s="564"/>
      <c r="E7" s="590"/>
      <c r="I7" s="580">
        <v>2</v>
      </c>
      <c r="J7" s="581" t="s">
        <v>176</v>
      </c>
      <c r="K7" s="581"/>
    </row>
    <row r="8" spans="1:13" ht="13.5" thickTop="1" x14ac:dyDescent="0.2">
      <c r="A8" s="589" t="s">
        <v>143</v>
      </c>
      <c r="B8" s="591">
        <f>B7</f>
        <v>0</v>
      </c>
      <c r="C8" s="564"/>
      <c r="E8" s="592" t="s">
        <v>174</v>
      </c>
      <c r="I8" s="580"/>
    </row>
    <row r="9" spans="1:13" x14ac:dyDescent="0.2">
      <c r="A9" s="589" t="s">
        <v>144</v>
      </c>
      <c r="B9" s="591">
        <f>B7</f>
        <v>0</v>
      </c>
      <c r="C9" s="564"/>
      <c r="E9" s="565"/>
      <c r="I9" s="580">
        <v>3</v>
      </c>
      <c r="J9" s="593" t="s">
        <v>177</v>
      </c>
      <c r="K9" s="581"/>
      <c r="L9" s="581"/>
    </row>
    <row r="10" spans="1:13" ht="13.5" thickBot="1" x14ac:dyDescent="0.25">
      <c r="A10" s="594" t="s">
        <v>145</v>
      </c>
      <c r="B10" s="595">
        <f>B7</f>
        <v>0</v>
      </c>
      <c r="C10" s="566"/>
      <c r="E10" s="596"/>
      <c r="I10" s="580"/>
      <c r="J10" s="593" t="s">
        <v>178</v>
      </c>
      <c r="K10" s="597"/>
      <c r="L10" s="581"/>
      <c r="M10" s="598"/>
    </row>
    <row r="11" spans="1:13" ht="14.25" thickTop="1" thickBot="1" x14ac:dyDescent="0.25">
      <c r="A11" s="599"/>
      <c r="B11" s="600"/>
      <c r="C11" s="601"/>
      <c r="I11" s="580"/>
      <c r="J11" s="581"/>
      <c r="K11" s="597"/>
      <c r="L11" s="581"/>
      <c r="M11" s="602"/>
    </row>
    <row r="12" spans="1:13" ht="13.5" thickTop="1" x14ac:dyDescent="0.2">
      <c r="A12" s="585" t="s">
        <v>147</v>
      </c>
      <c r="B12" s="646" t="s">
        <v>168</v>
      </c>
      <c r="C12" s="647"/>
      <c r="E12" s="648" t="s">
        <v>187</v>
      </c>
      <c r="F12" s="649"/>
      <c r="I12" s="580">
        <v>4</v>
      </c>
      <c r="J12" s="581" t="s">
        <v>184</v>
      </c>
      <c r="K12" s="597"/>
      <c r="L12" s="581"/>
      <c r="M12" s="602"/>
    </row>
    <row r="13" spans="1:13" x14ac:dyDescent="0.2">
      <c r="A13" s="603" t="s">
        <v>153</v>
      </c>
      <c r="B13" s="604" t="s">
        <v>154</v>
      </c>
      <c r="C13" s="605" t="s">
        <v>142</v>
      </c>
      <c r="D13" s="606"/>
      <c r="E13" s="650"/>
      <c r="F13" s="651"/>
      <c r="I13" s="580"/>
    </row>
    <row r="14" spans="1:13" ht="13.5" thickBot="1" x14ac:dyDescent="0.25">
      <c r="A14" s="607" t="s">
        <v>149</v>
      </c>
      <c r="B14" s="563"/>
      <c r="C14" s="564"/>
      <c r="D14" s="606"/>
      <c r="E14" s="652"/>
      <c r="F14" s="653"/>
      <c r="I14" s="580">
        <v>5</v>
      </c>
      <c r="J14" s="581" t="s">
        <v>179</v>
      </c>
    </row>
    <row r="15" spans="1:13" ht="13.5" thickTop="1" x14ac:dyDescent="0.2">
      <c r="A15" s="607" t="s">
        <v>150</v>
      </c>
      <c r="B15" s="608">
        <f>B14</f>
        <v>0</v>
      </c>
      <c r="C15" s="564"/>
      <c r="D15" s="606"/>
      <c r="I15" s="580"/>
      <c r="J15" s="581" t="s">
        <v>180</v>
      </c>
    </row>
    <row r="16" spans="1:13" x14ac:dyDescent="0.2">
      <c r="A16" s="607" t="s">
        <v>151</v>
      </c>
      <c r="B16" s="608">
        <f>B14</f>
        <v>0</v>
      </c>
      <c r="C16" s="564"/>
      <c r="D16" s="606"/>
      <c r="I16" s="580"/>
    </row>
    <row r="17" spans="1:10" ht="13.5" thickBot="1" x14ac:dyDescent="0.25">
      <c r="A17" s="609" t="s">
        <v>152</v>
      </c>
      <c r="B17" s="610">
        <f>B14</f>
        <v>0</v>
      </c>
      <c r="C17" s="566"/>
      <c r="D17" s="606"/>
      <c r="I17" s="580">
        <v>6</v>
      </c>
      <c r="J17" s="581" t="s">
        <v>189</v>
      </c>
    </row>
    <row r="18" spans="1:10" ht="14.25" thickTop="1" thickBot="1" x14ac:dyDescent="0.25">
      <c r="I18" s="580"/>
      <c r="J18" s="581" t="s">
        <v>181</v>
      </c>
    </row>
    <row r="19" spans="1:10" ht="13.5" thickTop="1" x14ac:dyDescent="0.2">
      <c r="A19" s="611" t="s">
        <v>147</v>
      </c>
      <c r="B19" s="643" t="s">
        <v>170</v>
      </c>
      <c r="C19" s="644"/>
      <c r="D19" s="612"/>
      <c r="E19" s="613" t="s">
        <v>147</v>
      </c>
      <c r="F19" s="643" t="s">
        <v>171</v>
      </c>
      <c r="G19" s="645"/>
      <c r="H19" s="614"/>
      <c r="I19" s="580"/>
    </row>
    <row r="20" spans="1:10" x14ac:dyDescent="0.2">
      <c r="A20" s="615" t="s">
        <v>169</v>
      </c>
      <c r="B20" s="616" t="s">
        <v>154</v>
      </c>
      <c r="C20" s="616" t="s">
        <v>142</v>
      </c>
      <c r="D20" s="617"/>
      <c r="E20" s="618" t="s">
        <v>91</v>
      </c>
      <c r="F20" s="616" t="s">
        <v>154</v>
      </c>
      <c r="G20" s="619" t="s">
        <v>142</v>
      </c>
      <c r="H20" s="620"/>
      <c r="I20" s="580">
        <v>7</v>
      </c>
      <c r="J20" s="581" t="s">
        <v>183</v>
      </c>
    </row>
    <row r="21" spans="1:10" x14ac:dyDescent="0.2">
      <c r="A21" s="589" t="s">
        <v>94</v>
      </c>
      <c r="B21" s="563"/>
      <c r="C21" s="567"/>
      <c r="D21" s="617"/>
      <c r="E21" s="621" t="s">
        <v>36</v>
      </c>
      <c r="F21" s="563"/>
      <c r="G21" s="564"/>
      <c r="H21" s="622"/>
      <c r="J21" s="581" t="s">
        <v>182</v>
      </c>
    </row>
    <row r="22" spans="1:10" x14ac:dyDescent="0.2">
      <c r="A22" s="589" t="s">
        <v>96</v>
      </c>
      <c r="B22" s="608">
        <f>B21</f>
        <v>0</v>
      </c>
      <c r="C22" s="567"/>
      <c r="D22" s="617"/>
      <c r="E22" s="621" t="s">
        <v>61</v>
      </c>
      <c r="F22" s="608">
        <f>F21</f>
        <v>0</v>
      </c>
      <c r="G22" s="564"/>
      <c r="H22" s="622"/>
      <c r="J22" s="623" t="s">
        <v>185</v>
      </c>
    </row>
    <row r="23" spans="1:10" x14ac:dyDescent="0.2">
      <c r="A23" s="589" t="s">
        <v>97</v>
      </c>
      <c r="B23" s="608">
        <f>B21</f>
        <v>0</v>
      </c>
      <c r="C23" s="567"/>
      <c r="D23" s="624"/>
      <c r="E23" s="621" t="s">
        <v>98</v>
      </c>
      <c r="F23" s="608">
        <f>F21</f>
        <v>0</v>
      </c>
      <c r="G23" s="564"/>
      <c r="H23" s="622"/>
      <c r="J23" s="623" t="s">
        <v>186</v>
      </c>
    </row>
    <row r="24" spans="1:10" ht="13.5" thickBot="1" x14ac:dyDescent="0.25">
      <c r="A24" s="594" t="s">
        <v>99</v>
      </c>
      <c r="B24" s="610">
        <f>B21</f>
        <v>0</v>
      </c>
      <c r="C24" s="568"/>
      <c r="D24" s="625"/>
      <c r="E24" s="626" t="s">
        <v>100</v>
      </c>
      <c r="F24" s="610">
        <f>F21</f>
        <v>0</v>
      </c>
      <c r="G24" s="566"/>
      <c r="H24" s="622"/>
    </row>
    <row r="25" spans="1:10" ht="14.25" thickTop="1" thickBot="1" x14ac:dyDescent="0.25"/>
    <row r="26" spans="1:10" ht="13.5" thickTop="1" x14ac:dyDescent="0.2">
      <c r="A26" s="611" t="s">
        <v>147</v>
      </c>
      <c r="B26" s="643" t="s">
        <v>172</v>
      </c>
      <c r="C26" s="644"/>
      <c r="D26" s="627"/>
      <c r="E26" s="613" t="s">
        <v>147</v>
      </c>
      <c r="F26" s="643" t="s">
        <v>92</v>
      </c>
      <c r="G26" s="645"/>
      <c r="H26" s="614"/>
    </row>
    <row r="27" spans="1:10" x14ac:dyDescent="0.2">
      <c r="A27" s="628" t="s">
        <v>157</v>
      </c>
      <c r="B27" s="604" t="s">
        <v>154</v>
      </c>
      <c r="C27" s="604" t="s">
        <v>142</v>
      </c>
      <c r="D27" s="624"/>
      <c r="E27" s="604" t="s">
        <v>92</v>
      </c>
      <c r="F27" s="604" t="s">
        <v>154</v>
      </c>
      <c r="G27" s="605" t="s">
        <v>142</v>
      </c>
      <c r="H27" s="620"/>
    </row>
    <row r="28" spans="1:10" x14ac:dyDescent="0.2">
      <c r="A28" s="589" t="s">
        <v>95</v>
      </c>
      <c r="B28" s="563"/>
      <c r="C28" s="567"/>
      <c r="D28" s="624"/>
      <c r="E28" s="621" t="s">
        <v>33</v>
      </c>
      <c r="F28" s="563"/>
      <c r="G28" s="564"/>
      <c r="H28" s="622"/>
    </row>
    <row r="29" spans="1:10" x14ac:dyDescent="0.2">
      <c r="A29" s="589" t="s">
        <v>72</v>
      </c>
      <c r="B29" s="608">
        <f>B28</f>
        <v>0</v>
      </c>
      <c r="C29" s="567"/>
      <c r="D29" s="624"/>
      <c r="E29" s="621" t="s">
        <v>35</v>
      </c>
      <c r="F29" s="608">
        <f>F28</f>
        <v>0</v>
      </c>
      <c r="G29" s="564"/>
      <c r="H29" s="622"/>
    </row>
    <row r="30" spans="1:10" x14ac:dyDescent="0.2">
      <c r="A30" s="628" t="s">
        <v>124</v>
      </c>
      <c r="B30" s="608"/>
      <c r="C30" s="621"/>
      <c r="D30" s="624"/>
      <c r="E30" s="604" t="s">
        <v>129</v>
      </c>
      <c r="F30" s="608"/>
      <c r="G30" s="629"/>
      <c r="H30" s="620"/>
    </row>
    <row r="31" spans="1:10" x14ac:dyDescent="0.2">
      <c r="A31" s="589" t="s">
        <v>108</v>
      </c>
      <c r="B31" s="608">
        <f>B28</f>
        <v>0</v>
      </c>
      <c r="C31" s="567"/>
      <c r="D31" s="624"/>
      <c r="E31" s="621" t="s">
        <v>109</v>
      </c>
      <c r="F31" s="608">
        <f>F28</f>
        <v>0</v>
      </c>
      <c r="G31" s="564"/>
      <c r="H31" s="622"/>
    </row>
    <row r="32" spans="1:10" ht="13.5" thickBot="1" x14ac:dyDescent="0.25">
      <c r="A32" s="594" t="s">
        <v>114</v>
      </c>
      <c r="B32" s="610">
        <f>B28</f>
        <v>0</v>
      </c>
      <c r="C32" s="568"/>
      <c r="D32" s="625"/>
      <c r="E32" s="626" t="s">
        <v>115</v>
      </c>
      <c r="F32" s="610">
        <f>F28</f>
        <v>0</v>
      </c>
      <c r="G32" s="566"/>
      <c r="H32" s="622"/>
    </row>
    <row r="33" spans="1:8" ht="14.25" thickTop="1" thickBot="1" x14ac:dyDescent="0.25"/>
    <row r="34" spans="1:8" ht="13.5" thickTop="1" x14ac:dyDescent="0.2">
      <c r="A34" s="611" t="s">
        <v>147</v>
      </c>
      <c r="B34" s="643" t="s">
        <v>173</v>
      </c>
      <c r="C34" s="644"/>
      <c r="D34" s="630"/>
      <c r="E34" s="613" t="s">
        <v>147</v>
      </c>
      <c r="F34" s="643" t="s">
        <v>93</v>
      </c>
      <c r="G34" s="645"/>
      <c r="H34" s="614"/>
    </row>
    <row r="35" spans="1:8" x14ac:dyDescent="0.2">
      <c r="A35" s="631"/>
      <c r="B35" s="604" t="s">
        <v>154</v>
      </c>
      <c r="C35" s="604" t="s">
        <v>142</v>
      </c>
      <c r="D35" s="632"/>
      <c r="E35" s="633"/>
      <c r="F35" s="604" t="s">
        <v>154</v>
      </c>
      <c r="G35" s="605" t="s">
        <v>142</v>
      </c>
      <c r="H35" s="620"/>
    </row>
    <row r="36" spans="1:8" x14ac:dyDescent="0.2">
      <c r="A36" s="628" t="s">
        <v>159</v>
      </c>
      <c r="B36" s="563"/>
      <c r="C36" s="567"/>
      <c r="D36" s="632"/>
      <c r="E36" s="604" t="s">
        <v>93</v>
      </c>
      <c r="F36" s="563"/>
      <c r="G36" s="564"/>
      <c r="H36" s="622"/>
    </row>
    <row r="37" spans="1:8" x14ac:dyDescent="0.2">
      <c r="A37" s="603" t="s">
        <v>160</v>
      </c>
      <c r="B37" s="608">
        <f>B36</f>
        <v>0</v>
      </c>
      <c r="C37" s="567"/>
      <c r="D37" s="624"/>
      <c r="E37" s="604" t="s">
        <v>164</v>
      </c>
      <c r="F37" s="608">
        <f>F36</f>
        <v>0</v>
      </c>
      <c r="G37" s="564"/>
      <c r="H37" s="622"/>
    </row>
    <row r="38" spans="1:8" x14ac:dyDescent="0.2">
      <c r="A38" s="603" t="s">
        <v>161</v>
      </c>
      <c r="B38" s="608">
        <f>B36</f>
        <v>0</v>
      </c>
      <c r="C38" s="567"/>
      <c r="D38" s="624"/>
      <c r="E38" s="604" t="s">
        <v>165</v>
      </c>
      <c r="F38" s="608">
        <f>F36</f>
        <v>0</v>
      </c>
      <c r="G38" s="564"/>
      <c r="H38" s="622"/>
    </row>
    <row r="39" spans="1:8" ht="13.5" thickBot="1" x14ac:dyDescent="0.25">
      <c r="A39" s="634" t="s">
        <v>162</v>
      </c>
      <c r="B39" s="610">
        <f>B36</f>
        <v>0</v>
      </c>
      <c r="C39" s="568"/>
      <c r="D39" s="625"/>
      <c r="E39" s="635" t="s">
        <v>166</v>
      </c>
      <c r="F39" s="610">
        <f>F36</f>
        <v>0</v>
      </c>
      <c r="G39" s="566"/>
      <c r="H39" s="622"/>
    </row>
    <row r="40" spans="1:8" ht="13.5" thickTop="1" x14ac:dyDescent="0.2"/>
  </sheetData>
  <sheetProtection sheet="1" objects="1" scenarios="1" selectLockedCells="1"/>
  <mergeCells count="14">
    <mergeCell ref="F34:G34"/>
    <mergeCell ref="B12:C12"/>
    <mergeCell ref="B19:C19"/>
    <mergeCell ref="F19:G19"/>
    <mergeCell ref="B26:C26"/>
    <mergeCell ref="F26:G26"/>
    <mergeCell ref="E12:F12"/>
    <mergeCell ref="E13:F13"/>
    <mergeCell ref="E14:F14"/>
    <mergeCell ref="A1:C1"/>
    <mergeCell ref="B2:C2"/>
    <mergeCell ref="B3:C3"/>
    <mergeCell ref="B4:C4"/>
    <mergeCell ref="B34:C3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mise_a_zero_des_poules">
                <anchor moveWithCells="1" sizeWithCells="1">
                  <from>
                    <xdr:col>11</xdr:col>
                    <xdr:colOff>200025</xdr:colOff>
                    <xdr:row>2</xdr:row>
                    <xdr:rowOff>76200</xdr:rowOff>
                  </from>
                  <to>
                    <xdr:col>12</xdr:col>
                    <xdr:colOff>666750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Mise_a_0_du_tableau">
                <anchor moveWithCells="1" sizeWithCells="1">
                  <from>
                    <xdr:col>11</xdr:col>
                    <xdr:colOff>228600</xdr:colOff>
                    <xdr:row>5</xdr:row>
                    <xdr:rowOff>133350</xdr:rowOff>
                  </from>
                  <to>
                    <xdr:col>12</xdr:col>
                    <xdr:colOff>695325</xdr:colOff>
                    <xdr:row>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92D050"/>
  </sheetPr>
  <dimension ref="A1:Q146"/>
  <sheetViews>
    <sheetView showGridLines="0" zoomScale="85" zoomScaleNormal="90" workbookViewId="0">
      <selection activeCell="B9" sqref="B9:G20"/>
    </sheetView>
  </sheetViews>
  <sheetFormatPr baseColWidth="10" defaultColWidth="5.7109375" defaultRowHeight="11.25" zeroHeight="1" outlineLevelRow="1" x14ac:dyDescent="0.2"/>
  <cols>
    <col min="1" max="1" width="6.7109375" style="2" customWidth="1"/>
    <col min="2" max="2" width="22.5703125" style="1" customWidth="1"/>
    <col min="3" max="3" width="26.42578125" style="1" customWidth="1"/>
    <col min="4" max="5" width="6.140625" style="2" customWidth="1"/>
    <col min="6" max="6" width="6.7109375" style="2" customWidth="1"/>
    <col min="7" max="7" width="9.85546875" style="1" customWidth="1"/>
    <col min="8" max="8" width="13.5703125" style="1" hidden="1" customWidth="1"/>
    <col min="9" max="9" width="4.140625" style="1" customWidth="1"/>
    <col min="10" max="10" width="11" style="1" hidden="1" customWidth="1"/>
    <col min="11" max="11" width="3.85546875" style="1" customWidth="1"/>
    <col min="12" max="12" width="17.42578125" style="1" bestFit="1" customWidth="1"/>
    <col min="13" max="13" width="5.7109375" style="1"/>
    <col min="14" max="14" width="3.85546875" style="1" bestFit="1" customWidth="1"/>
    <col min="15" max="15" width="5.7109375" style="1"/>
    <col min="16" max="17" width="7" style="1" bestFit="1" customWidth="1"/>
    <col min="18" max="16384" width="5.7109375" style="1"/>
  </cols>
  <sheetData>
    <row r="1" spans="1:17" ht="19.5" x14ac:dyDescent="0.2">
      <c r="A1" s="35" t="s">
        <v>0</v>
      </c>
      <c r="B1" s="36"/>
      <c r="C1" s="36"/>
      <c r="D1" s="37" t="s">
        <v>140</v>
      </c>
      <c r="E1" s="38"/>
      <c r="F1" s="38"/>
      <c r="G1" s="39" t="str">
        <f>Rens!E1</f>
        <v>2018-2019</v>
      </c>
      <c r="H1" s="12"/>
      <c r="I1" s="3"/>
    </row>
    <row r="2" spans="1:17" ht="19.5" customHeight="1" x14ac:dyDescent="0.2">
      <c r="A2" s="35" t="s">
        <v>1</v>
      </c>
      <c r="B2" s="36"/>
      <c r="C2" s="36"/>
      <c r="D2" s="38"/>
      <c r="E2" s="38"/>
      <c r="F2" s="40" t="s">
        <v>155</v>
      </c>
      <c r="G2" s="40">
        <f>Rens!E2</f>
        <v>1</v>
      </c>
      <c r="H2" s="16"/>
      <c r="I2" s="3"/>
    </row>
    <row r="3" spans="1:17" s="4" customFormat="1" ht="19.5" customHeight="1" x14ac:dyDescent="0.2">
      <c r="A3" s="41"/>
      <c r="B3" s="42"/>
      <c r="C3" s="42"/>
      <c r="D3" s="41"/>
      <c r="E3" s="43"/>
      <c r="F3" s="41"/>
      <c r="G3" s="36"/>
      <c r="I3" s="5"/>
    </row>
    <row r="4" spans="1:17" s="7" customFormat="1" ht="26.25" x14ac:dyDescent="0.2">
      <c r="A4" s="654" t="str">
        <f>Rens!A1</f>
        <v>Circuit Décathlon</v>
      </c>
      <c r="B4" s="654"/>
      <c r="C4" s="654"/>
      <c r="D4" s="654"/>
      <c r="E4" s="654"/>
      <c r="F4" s="654"/>
      <c r="G4" s="654"/>
      <c r="H4" s="13"/>
      <c r="I4" s="6"/>
    </row>
    <row r="5" spans="1:17" s="7" customFormat="1" ht="21" x14ac:dyDescent="0.2">
      <c r="A5" s="655" t="str">
        <f>Rens!B2</f>
        <v>Parigné l'évêque</v>
      </c>
      <c r="B5" s="655"/>
      <c r="C5" s="655"/>
      <c r="D5" s="655"/>
      <c r="E5" s="655"/>
      <c r="F5" s="655"/>
      <c r="G5" s="655"/>
      <c r="H5" s="14"/>
      <c r="I5" s="6"/>
    </row>
    <row r="6" spans="1:17" s="7" customFormat="1" ht="20.25" x14ac:dyDescent="0.2">
      <c r="A6" s="656" t="str">
        <f>Rens!B3</f>
        <v>FEM</v>
      </c>
      <c r="B6" s="656"/>
      <c r="C6" s="656"/>
      <c r="D6" s="656"/>
      <c r="E6" s="656"/>
      <c r="F6" s="656"/>
      <c r="G6" s="656"/>
      <c r="H6" s="15"/>
      <c r="I6" s="6"/>
    </row>
    <row r="7" spans="1:17" s="7" customFormat="1" ht="21" thickBot="1" x14ac:dyDescent="0.25">
      <c r="A7" s="657">
        <f>Rens!B4</f>
        <v>43421</v>
      </c>
      <c r="B7" s="657"/>
      <c r="C7" s="657"/>
      <c r="D7" s="657"/>
      <c r="E7" s="657"/>
      <c r="F7" s="657"/>
      <c r="G7" s="657"/>
      <c r="H7" s="17"/>
      <c r="I7" s="6"/>
    </row>
    <row r="8" spans="1:17" ht="21" x14ac:dyDescent="0.2">
      <c r="A8" s="44" t="s">
        <v>8</v>
      </c>
      <c r="B8" s="45" t="s">
        <v>15</v>
      </c>
      <c r="C8" s="45" t="s">
        <v>73</v>
      </c>
      <c r="D8" s="46" t="s">
        <v>74</v>
      </c>
      <c r="E8" s="46" t="s">
        <v>75</v>
      </c>
      <c r="F8" s="46" t="s">
        <v>196</v>
      </c>
      <c r="G8" s="47" t="s">
        <v>16</v>
      </c>
      <c r="H8" s="20" t="s">
        <v>123</v>
      </c>
      <c r="I8" s="3"/>
      <c r="J8" s="8" t="s">
        <v>76</v>
      </c>
    </row>
    <row r="9" spans="1:17" ht="15" customHeight="1" x14ac:dyDescent="0.2">
      <c r="A9" s="48">
        <v>1</v>
      </c>
      <c r="B9" s="637" t="s">
        <v>261</v>
      </c>
      <c r="C9" s="637" t="s">
        <v>272</v>
      </c>
      <c r="D9" s="638">
        <v>5</v>
      </c>
      <c r="E9" s="49"/>
      <c r="F9" s="638">
        <v>500</v>
      </c>
      <c r="G9" s="636">
        <v>7221216</v>
      </c>
      <c r="H9" s="21">
        <v>1690024</v>
      </c>
      <c r="I9" s="9">
        <v>1</v>
      </c>
      <c r="J9" s="10" t="e">
        <v>#REF!</v>
      </c>
      <c r="K9" s="23">
        <v>1</v>
      </c>
      <c r="L9" s="25" t="s">
        <v>203</v>
      </c>
      <c r="M9" s="33" t="s">
        <v>212</v>
      </c>
      <c r="N9" s="33">
        <v>11</v>
      </c>
      <c r="O9" s="33" t="s">
        <v>201</v>
      </c>
      <c r="P9" s="33">
        <v>1154</v>
      </c>
      <c r="Q9" s="24">
        <v>7214057</v>
      </c>
    </row>
    <row r="10" spans="1:17" ht="15" customHeight="1" x14ac:dyDescent="0.2">
      <c r="A10" s="50">
        <v>2</v>
      </c>
      <c r="B10" s="637" t="s">
        <v>262</v>
      </c>
      <c r="C10" s="637" t="s">
        <v>260</v>
      </c>
      <c r="D10" s="638">
        <v>5</v>
      </c>
      <c r="E10" s="51"/>
      <c r="F10" s="638">
        <v>500</v>
      </c>
      <c r="G10" s="636">
        <v>7223234</v>
      </c>
      <c r="H10" s="22">
        <v>1420036</v>
      </c>
      <c r="I10" s="9">
        <v>2</v>
      </c>
      <c r="J10" s="11" t="e">
        <v>#REF!</v>
      </c>
      <c r="K10" s="23">
        <v>2</v>
      </c>
      <c r="L10" s="27" t="s">
        <v>213</v>
      </c>
      <c r="M10" s="34" t="s">
        <v>214</v>
      </c>
      <c r="N10" s="34">
        <v>11</v>
      </c>
      <c r="O10" s="34" t="s">
        <v>199</v>
      </c>
      <c r="P10" s="34">
        <v>1139</v>
      </c>
      <c r="Q10" s="26">
        <v>7213978</v>
      </c>
    </row>
    <row r="11" spans="1:17" ht="15" customHeight="1" x14ac:dyDescent="0.2">
      <c r="A11" s="50">
        <v>3</v>
      </c>
      <c r="B11" s="637" t="s">
        <v>263</v>
      </c>
      <c r="C11" s="637" t="s">
        <v>273</v>
      </c>
      <c r="D11" s="638">
        <v>5</v>
      </c>
      <c r="E11" s="51"/>
      <c r="F11" s="638">
        <v>500</v>
      </c>
      <c r="G11" s="636">
        <v>7223109</v>
      </c>
      <c r="H11" s="22"/>
      <c r="I11" s="9">
        <v>3</v>
      </c>
      <c r="J11" s="11" t="e">
        <v>#REF!</v>
      </c>
      <c r="K11" s="23">
        <v>3</v>
      </c>
      <c r="L11" s="27" t="s">
        <v>209</v>
      </c>
      <c r="M11" s="34" t="s">
        <v>210</v>
      </c>
      <c r="N11" s="34">
        <v>9</v>
      </c>
      <c r="O11" s="34" t="s">
        <v>199</v>
      </c>
      <c r="P11" s="34">
        <v>987</v>
      </c>
      <c r="Q11" s="28">
        <v>7214110</v>
      </c>
    </row>
    <row r="12" spans="1:17" ht="15" customHeight="1" x14ac:dyDescent="0.2">
      <c r="A12" s="50">
        <v>4</v>
      </c>
      <c r="B12" s="637" t="s">
        <v>264</v>
      </c>
      <c r="C12" s="637" t="s">
        <v>207</v>
      </c>
      <c r="D12" s="638">
        <v>5</v>
      </c>
      <c r="E12" s="51"/>
      <c r="F12" s="638">
        <v>500</v>
      </c>
      <c r="G12" s="636">
        <v>7222176</v>
      </c>
      <c r="H12" s="22"/>
      <c r="I12" s="9">
        <v>4</v>
      </c>
      <c r="J12" s="11" t="e">
        <v>#REF!</v>
      </c>
      <c r="K12" s="23">
        <v>4</v>
      </c>
      <c r="L12" s="27" t="s">
        <v>215</v>
      </c>
      <c r="M12" s="34" t="s">
        <v>198</v>
      </c>
      <c r="N12" s="34">
        <v>13</v>
      </c>
      <c r="O12" s="34" t="s">
        <v>200</v>
      </c>
      <c r="P12" s="34">
        <v>1351</v>
      </c>
      <c r="Q12" s="26">
        <v>7211065</v>
      </c>
    </row>
    <row r="13" spans="1:17" ht="15" customHeight="1" x14ac:dyDescent="0.2">
      <c r="A13" s="50">
        <v>5</v>
      </c>
      <c r="B13" s="637" t="s">
        <v>266</v>
      </c>
      <c r="C13" s="637" t="s">
        <v>274</v>
      </c>
      <c r="D13" s="638">
        <v>5</v>
      </c>
      <c r="E13" s="51"/>
      <c r="F13" s="638">
        <v>500</v>
      </c>
      <c r="G13" s="636">
        <v>7221427</v>
      </c>
      <c r="H13" s="22"/>
      <c r="I13" s="9">
        <v>5</v>
      </c>
      <c r="J13" s="11" t="e">
        <v>#REF!</v>
      </c>
      <c r="K13" s="23">
        <v>5</v>
      </c>
      <c r="L13" s="27" t="s">
        <v>216</v>
      </c>
      <c r="M13" s="34" t="s">
        <v>198</v>
      </c>
      <c r="N13" s="34">
        <v>10</v>
      </c>
      <c r="O13" s="34" t="s">
        <v>199</v>
      </c>
      <c r="P13" s="34">
        <v>1008</v>
      </c>
      <c r="Q13" s="26">
        <v>7212093</v>
      </c>
    </row>
    <row r="14" spans="1:17" ht="15" customHeight="1" x14ac:dyDescent="0.2">
      <c r="A14" s="50">
        <v>6</v>
      </c>
      <c r="B14" s="637" t="s">
        <v>265</v>
      </c>
      <c r="C14" s="637" t="s">
        <v>207</v>
      </c>
      <c r="D14" s="638">
        <v>5</v>
      </c>
      <c r="E14" s="51"/>
      <c r="F14" s="638">
        <v>500</v>
      </c>
      <c r="G14" s="636">
        <v>7222271</v>
      </c>
      <c r="H14" s="22"/>
      <c r="I14" s="9">
        <v>6</v>
      </c>
      <c r="J14" s="11" t="e">
        <v>#REF!</v>
      </c>
      <c r="K14" s="23">
        <v>6</v>
      </c>
      <c r="L14" s="27" t="s">
        <v>208</v>
      </c>
      <c r="M14" s="34" t="s">
        <v>202</v>
      </c>
      <c r="N14" s="34">
        <v>9</v>
      </c>
      <c r="O14" s="34" t="s">
        <v>201</v>
      </c>
      <c r="P14" s="34">
        <v>960</v>
      </c>
      <c r="Q14" s="29">
        <v>7210055</v>
      </c>
    </row>
    <row r="15" spans="1:17" ht="15" customHeight="1" x14ac:dyDescent="0.2">
      <c r="A15" s="50">
        <v>7</v>
      </c>
      <c r="B15" s="637" t="s">
        <v>267</v>
      </c>
      <c r="C15" s="637" t="s">
        <v>257</v>
      </c>
      <c r="D15" s="638">
        <v>5</v>
      </c>
      <c r="E15" s="51"/>
      <c r="F15" s="638">
        <v>500</v>
      </c>
      <c r="G15" s="636">
        <v>7221992</v>
      </c>
      <c r="H15" s="22"/>
      <c r="I15" s="9">
        <v>7</v>
      </c>
      <c r="J15" s="11" t="e">
        <v>#REF!</v>
      </c>
      <c r="K15" s="23">
        <v>7</v>
      </c>
      <c r="L15" s="27" t="s">
        <v>206</v>
      </c>
      <c r="M15" s="34" t="s">
        <v>207</v>
      </c>
      <c r="N15" s="34">
        <v>9</v>
      </c>
      <c r="O15" s="34" t="s">
        <v>201</v>
      </c>
      <c r="P15" s="34">
        <v>995</v>
      </c>
      <c r="Q15" s="29">
        <v>725777</v>
      </c>
    </row>
    <row r="16" spans="1:17" ht="15" customHeight="1" x14ac:dyDescent="0.2">
      <c r="A16" s="50">
        <v>8</v>
      </c>
      <c r="B16" s="637" t="s">
        <v>268</v>
      </c>
      <c r="C16" s="637" t="s">
        <v>258</v>
      </c>
      <c r="D16" s="638">
        <v>5</v>
      </c>
      <c r="E16" s="51"/>
      <c r="F16" s="638">
        <v>500</v>
      </c>
      <c r="G16" s="636">
        <v>7223265</v>
      </c>
      <c r="H16" s="22"/>
      <c r="I16" s="9">
        <v>8</v>
      </c>
      <c r="J16" s="11" t="e">
        <v>#REF!</v>
      </c>
      <c r="K16" s="23">
        <v>8</v>
      </c>
      <c r="L16" s="27" t="s">
        <v>217</v>
      </c>
      <c r="M16" s="34" t="s">
        <v>218</v>
      </c>
      <c r="N16" s="34">
        <v>10</v>
      </c>
      <c r="O16" s="34" t="s">
        <v>199</v>
      </c>
      <c r="P16" s="34">
        <v>1063</v>
      </c>
      <c r="Q16" s="28">
        <v>7213561</v>
      </c>
    </row>
    <row r="17" spans="1:17" ht="15" customHeight="1" x14ac:dyDescent="0.2">
      <c r="A17" s="50">
        <v>9</v>
      </c>
      <c r="B17" s="637" t="s">
        <v>269</v>
      </c>
      <c r="C17" s="637" t="s">
        <v>259</v>
      </c>
      <c r="D17" s="638">
        <v>5</v>
      </c>
      <c r="E17" s="51"/>
      <c r="F17" s="638">
        <v>500</v>
      </c>
      <c r="G17" s="636">
        <v>7220268</v>
      </c>
      <c r="H17" s="22"/>
      <c r="I17" s="9">
        <v>9</v>
      </c>
      <c r="J17" s="11" t="e">
        <v>#REF!</v>
      </c>
      <c r="K17" s="23">
        <v>9</v>
      </c>
      <c r="L17" s="27" t="s">
        <v>219</v>
      </c>
      <c r="M17" s="34" t="s">
        <v>214</v>
      </c>
      <c r="N17" s="34">
        <v>9</v>
      </c>
      <c r="O17" s="34" t="s">
        <v>199</v>
      </c>
      <c r="P17" s="34">
        <v>911</v>
      </c>
      <c r="Q17" s="26">
        <v>7214816</v>
      </c>
    </row>
    <row r="18" spans="1:17" ht="15" customHeight="1" x14ac:dyDescent="0.2">
      <c r="A18" s="50">
        <v>10</v>
      </c>
      <c r="B18" s="637" t="s">
        <v>270</v>
      </c>
      <c r="C18" s="637" t="s">
        <v>214</v>
      </c>
      <c r="D18" s="638">
        <v>5</v>
      </c>
      <c r="E18" s="51"/>
      <c r="F18" s="638">
        <v>500</v>
      </c>
      <c r="G18" s="636">
        <v>7222502</v>
      </c>
      <c r="H18" s="22"/>
      <c r="I18" s="9">
        <v>10</v>
      </c>
      <c r="J18" s="11" t="e">
        <v>#REF!</v>
      </c>
      <c r="K18" s="23">
        <v>10</v>
      </c>
      <c r="L18" s="27" t="s">
        <v>220</v>
      </c>
      <c r="M18" s="34" t="s">
        <v>205</v>
      </c>
      <c r="N18" s="34">
        <v>9</v>
      </c>
      <c r="O18" s="34" t="s">
        <v>199</v>
      </c>
      <c r="P18" s="34">
        <v>910</v>
      </c>
      <c r="Q18" s="26">
        <v>7214173</v>
      </c>
    </row>
    <row r="19" spans="1:17" ht="15" customHeight="1" x14ac:dyDescent="0.2">
      <c r="A19" s="50">
        <v>11</v>
      </c>
      <c r="B19" s="637" t="s">
        <v>271</v>
      </c>
      <c r="C19" s="637" t="s">
        <v>275</v>
      </c>
      <c r="D19" s="638">
        <v>5</v>
      </c>
      <c r="E19" s="51"/>
      <c r="F19" s="638">
        <v>500</v>
      </c>
      <c r="G19" s="636">
        <v>7222495</v>
      </c>
      <c r="H19" s="22"/>
      <c r="I19" s="9">
        <v>11</v>
      </c>
      <c r="J19" s="11" t="e">
        <v>#REF!</v>
      </c>
      <c r="K19" s="23">
        <v>11</v>
      </c>
      <c r="L19" s="27" t="s">
        <v>204</v>
      </c>
      <c r="M19" s="34" t="s">
        <v>205</v>
      </c>
      <c r="N19" s="34">
        <v>9</v>
      </c>
      <c r="O19" s="34" t="s">
        <v>201</v>
      </c>
      <c r="P19" s="34">
        <v>938</v>
      </c>
      <c r="Q19" s="26">
        <v>725599</v>
      </c>
    </row>
    <row r="20" spans="1:17" ht="15" customHeight="1" x14ac:dyDescent="0.2">
      <c r="A20" s="50">
        <v>12</v>
      </c>
      <c r="B20" s="637"/>
      <c r="C20" s="637"/>
      <c r="D20" s="638"/>
      <c r="E20" s="51"/>
      <c r="F20" s="638"/>
      <c r="G20" s="636"/>
      <c r="H20" s="22"/>
      <c r="I20" s="9">
        <v>12</v>
      </c>
      <c r="J20" s="11" t="e">
        <v>#REF!</v>
      </c>
      <c r="K20" s="23">
        <v>12</v>
      </c>
      <c r="L20" s="27" t="s">
        <v>221</v>
      </c>
      <c r="M20" s="34" t="s">
        <v>222</v>
      </c>
      <c r="N20" s="34">
        <v>11</v>
      </c>
      <c r="O20" s="34" t="s">
        <v>200</v>
      </c>
      <c r="P20" s="34">
        <v>1138</v>
      </c>
      <c r="Q20" s="26">
        <v>7211522</v>
      </c>
    </row>
    <row r="21" spans="1:17" ht="15" customHeight="1" x14ac:dyDescent="0.2">
      <c r="A21" s="50">
        <v>13</v>
      </c>
      <c r="B21" s="637"/>
      <c r="C21" s="637"/>
      <c r="D21" s="638"/>
      <c r="E21" s="51"/>
      <c r="F21" s="638"/>
      <c r="G21" s="636"/>
      <c r="H21" s="22"/>
      <c r="I21" s="9">
        <v>13</v>
      </c>
      <c r="J21" s="11" t="e">
        <v>#REF!</v>
      </c>
      <c r="K21" s="23">
        <v>13</v>
      </c>
      <c r="L21" s="27" t="s">
        <v>223</v>
      </c>
      <c r="M21" s="34" t="s">
        <v>224</v>
      </c>
      <c r="N21" s="34">
        <v>8</v>
      </c>
      <c r="O21" s="34" t="s">
        <v>201</v>
      </c>
      <c r="P21" s="34">
        <v>840</v>
      </c>
      <c r="Q21" s="26">
        <v>7212724</v>
      </c>
    </row>
    <row r="22" spans="1:17" ht="15" customHeight="1" x14ac:dyDescent="0.2">
      <c r="A22" s="50">
        <v>14</v>
      </c>
      <c r="B22" s="637"/>
      <c r="C22" s="637"/>
      <c r="D22" s="638"/>
      <c r="E22" s="51"/>
      <c r="F22" s="638"/>
      <c r="G22" s="636"/>
      <c r="H22" s="22"/>
      <c r="I22" s="9">
        <v>14</v>
      </c>
      <c r="J22" s="11" t="e">
        <v>#REF!</v>
      </c>
      <c r="K22" s="23">
        <v>14</v>
      </c>
      <c r="L22" s="27" t="s">
        <v>225</v>
      </c>
      <c r="M22" s="34" t="s">
        <v>226</v>
      </c>
      <c r="N22" s="34">
        <v>8</v>
      </c>
      <c r="O22" s="34" t="s">
        <v>201</v>
      </c>
      <c r="P22" s="34">
        <v>887</v>
      </c>
      <c r="Q22" s="26">
        <v>7214201</v>
      </c>
    </row>
    <row r="23" spans="1:17" ht="15" customHeight="1" x14ac:dyDescent="0.2">
      <c r="A23" s="50">
        <v>15</v>
      </c>
      <c r="H23" s="22"/>
      <c r="I23" s="9">
        <v>15</v>
      </c>
      <c r="J23" s="11" t="e">
        <v>#REF!</v>
      </c>
      <c r="K23" s="23">
        <v>15</v>
      </c>
      <c r="L23" s="27" t="s">
        <v>227</v>
      </c>
      <c r="M23" s="34" t="s">
        <v>198</v>
      </c>
      <c r="N23" s="34">
        <v>8</v>
      </c>
      <c r="O23" s="34" t="s">
        <v>201</v>
      </c>
      <c r="P23" s="34">
        <v>839</v>
      </c>
      <c r="Q23" s="26">
        <v>7213665</v>
      </c>
    </row>
    <row r="24" spans="1:17" ht="15" customHeight="1" thickBot="1" x14ac:dyDescent="0.25">
      <c r="A24" s="52">
        <v>16</v>
      </c>
      <c r="B24" s="53"/>
      <c r="C24" s="54"/>
      <c r="D24" s="55"/>
      <c r="E24" s="54"/>
      <c r="F24" s="55"/>
      <c r="G24" s="56"/>
      <c r="H24" s="22"/>
      <c r="I24" s="9">
        <v>16</v>
      </c>
      <c r="J24" s="11" t="e">
        <v>#REF!</v>
      </c>
      <c r="K24" s="23">
        <v>16</v>
      </c>
      <c r="L24" s="31" t="s">
        <v>228</v>
      </c>
      <c r="M24" s="32" t="s">
        <v>229</v>
      </c>
      <c r="N24" s="32">
        <v>9</v>
      </c>
      <c r="O24" s="32" t="s">
        <v>199</v>
      </c>
      <c r="P24" s="32">
        <v>912</v>
      </c>
      <c r="Q24" s="30">
        <v>7212065</v>
      </c>
    </row>
    <row r="25" spans="1:17" ht="12.75" hidden="1" outlineLevel="1" x14ac:dyDescent="0.2">
      <c r="A25" s="57">
        <v>17</v>
      </c>
      <c r="B25" s="58"/>
      <c r="C25" s="58"/>
      <c r="D25" s="59"/>
      <c r="E25" s="60" t="e">
        <v>#REF!</v>
      </c>
      <c r="F25" s="59"/>
      <c r="G25" s="61"/>
      <c r="H25" s="19"/>
      <c r="I25" s="9">
        <v>17</v>
      </c>
      <c r="J25" s="11" t="s">
        <v>197</v>
      </c>
    </row>
    <row r="26" spans="1:17" ht="12.75" hidden="1" outlineLevel="1" x14ac:dyDescent="0.2">
      <c r="A26" s="62">
        <v>18</v>
      </c>
      <c r="B26" s="63"/>
      <c r="C26" s="63"/>
      <c r="D26" s="64"/>
      <c r="E26" s="64"/>
      <c r="F26" s="64"/>
      <c r="G26" s="65"/>
      <c r="H26" s="19"/>
      <c r="I26" s="9">
        <v>18</v>
      </c>
      <c r="J26" s="11" t="s">
        <v>197</v>
      </c>
    </row>
    <row r="27" spans="1:17" ht="12.75" hidden="1" outlineLevel="1" x14ac:dyDescent="0.2">
      <c r="A27" s="62">
        <v>19</v>
      </c>
      <c r="B27" s="63"/>
      <c r="C27" s="63"/>
      <c r="D27" s="64"/>
      <c r="E27" s="64"/>
      <c r="F27" s="64"/>
      <c r="G27" s="65"/>
      <c r="H27" s="19"/>
      <c r="I27" s="9">
        <v>19</v>
      </c>
      <c r="J27" s="11" t="s">
        <v>197</v>
      </c>
    </row>
    <row r="28" spans="1:17" ht="12.75" hidden="1" outlineLevel="1" x14ac:dyDescent="0.2">
      <c r="A28" s="66">
        <v>20</v>
      </c>
      <c r="B28" s="63"/>
      <c r="C28" s="63"/>
      <c r="D28" s="64"/>
      <c r="E28" s="64"/>
      <c r="F28" s="64"/>
      <c r="G28" s="65"/>
      <c r="H28" s="19"/>
      <c r="I28" s="9">
        <v>20</v>
      </c>
      <c r="J28" s="11" t="s">
        <v>197</v>
      </c>
    </row>
    <row r="29" spans="1:17" ht="12.75" hidden="1" outlineLevel="1" x14ac:dyDescent="0.2">
      <c r="A29" s="57">
        <v>21</v>
      </c>
      <c r="B29" s="63"/>
      <c r="C29" s="63"/>
      <c r="D29" s="64"/>
      <c r="E29" s="64"/>
      <c r="F29" s="64"/>
      <c r="G29" s="65"/>
      <c r="H29" s="19"/>
      <c r="I29" s="9">
        <v>21</v>
      </c>
      <c r="J29" s="11" t="s">
        <v>197</v>
      </c>
    </row>
    <row r="30" spans="1:17" ht="12.75" hidden="1" outlineLevel="1" x14ac:dyDescent="0.2">
      <c r="A30" s="62">
        <v>22</v>
      </c>
      <c r="B30" s="63"/>
      <c r="C30" s="63"/>
      <c r="D30" s="64"/>
      <c r="E30" s="64"/>
      <c r="F30" s="64"/>
      <c r="G30" s="65"/>
      <c r="H30" s="19"/>
      <c r="I30" s="9">
        <v>22</v>
      </c>
      <c r="J30" s="11" t="s">
        <v>197</v>
      </c>
    </row>
    <row r="31" spans="1:17" ht="12.75" hidden="1" outlineLevel="1" x14ac:dyDescent="0.2">
      <c r="A31" s="62">
        <v>23</v>
      </c>
      <c r="B31" s="63"/>
      <c r="C31" s="63"/>
      <c r="D31" s="64"/>
      <c r="E31" s="64"/>
      <c r="F31" s="64"/>
      <c r="G31" s="65"/>
      <c r="H31" s="19"/>
      <c r="I31" s="9">
        <v>23</v>
      </c>
      <c r="J31" s="11" t="s">
        <v>197</v>
      </c>
    </row>
    <row r="32" spans="1:17" ht="12.75" hidden="1" outlineLevel="1" x14ac:dyDescent="0.2">
      <c r="A32" s="62">
        <v>24</v>
      </c>
      <c r="B32" s="63"/>
      <c r="C32" s="63"/>
      <c r="D32" s="64"/>
      <c r="E32" s="64"/>
      <c r="F32" s="64"/>
      <c r="G32" s="65"/>
      <c r="H32" s="19"/>
      <c r="I32" s="9">
        <v>24</v>
      </c>
      <c r="J32" s="11" t="s">
        <v>197</v>
      </c>
    </row>
    <row r="33" spans="1:10" ht="12.75" hidden="1" outlineLevel="1" x14ac:dyDescent="0.2">
      <c r="A33" s="57">
        <v>25</v>
      </c>
      <c r="B33" s="63"/>
      <c r="C33" s="63"/>
      <c r="D33" s="64"/>
      <c r="E33" s="64"/>
      <c r="F33" s="64"/>
      <c r="G33" s="65"/>
      <c r="H33" s="19"/>
      <c r="I33" s="9">
        <v>25</v>
      </c>
      <c r="J33" s="11" t="s">
        <v>197</v>
      </c>
    </row>
    <row r="34" spans="1:10" ht="12.75" hidden="1" outlineLevel="1" x14ac:dyDescent="0.2">
      <c r="A34" s="62">
        <v>26</v>
      </c>
      <c r="B34" s="63"/>
      <c r="C34" s="63"/>
      <c r="D34" s="64"/>
      <c r="E34" s="64"/>
      <c r="F34" s="64"/>
      <c r="G34" s="65"/>
      <c r="H34" s="19"/>
      <c r="I34" s="9">
        <v>26</v>
      </c>
      <c r="J34" s="11" t="s">
        <v>197</v>
      </c>
    </row>
    <row r="35" spans="1:10" ht="12.75" hidden="1" outlineLevel="1" x14ac:dyDescent="0.2">
      <c r="A35" s="62">
        <v>27</v>
      </c>
      <c r="B35" s="63"/>
      <c r="C35" s="63"/>
      <c r="D35" s="64"/>
      <c r="E35" s="64"/>
      <c r="F35" s="64"/>
      <c r="G35" s="65"/>
      <c r="H35" s="19"/>
      <c r="I35" s="9">
        <v>27</v>
      </c>
      <c r="J35" s="11" t="s">
        <v>197</v>
      </c>
    </row>
    <row r="36" spans="1:10" ht="12.75" hidden="1" outlineLevel="1" x14ac:dyDescent="0.2">
      <c r="A36" s="62">
        <v>28</v>
      </c>
      <c r="B36" s="63"/>
      <c r="C36" s="63"/>
      <c r="D36" s="64"/>
      <c r="E36" s="64"/>
      <c r="F36" s="64"/>
      <c r="G36" s="65"/>
      <c r="H36" s="19"/>
      <c r="I36" s="9">
        <v>28</v>
      </c>
      <c r="J36" s="11" t="s">
        <v>197</v>
      </c>
    </row>
    <row r="37" spans="1:10" ht="12.75" hidden="1" outlineLevel="1" x14ac:dyDescent="0.2">
      <c r="A37" s="57">
        <v>29</v>
      </c>
      <c r="B37" s="63"/>
      <c r="C37" s="63"/>
      <c r="D37" s="64"/>
      <c r="E37" s="64"/>
      <c r="F37" s="64"/>
      <c r="G37" s="65"/>
      <c r="H37" s="19"/>
      <c r="I37" s="9">
        <v>29</v>
      </c>
      <c r="J37" s="11" t="s">
        <v>197</v>
      </c>
    </row>
    <row r="38" spans="1:10" ht="12.75" hidden="1" outlineLevel="1" x14ac:dyDescent="0.2">
      <c r="A38" s="62">
        <v>30</v>
      </c>
      <c r="B38" s="63"/>
      <c r="C38" s="63"/>
      <c r="D38" s="64"/>
      <c r="E38" s="64"/>
      <c r="F38" s="64"/>
      <c r="G38" s="65"/>
      <c r="H38" s="19"/>
      <c r="I38" s="9">
        <v>30</v>
      </c>
      <c r="J38" s="11" t="s">
        <v>197</v>
      </c>
    </row>
    <row r="39" spans="1:10" ht="12.75" hidden="1" outlineLevel="1" x14ac:dyDescent="0.2">
      <c r="A39" s="62">
        <v>31</v>
      </c>
      <c r="B39" s="63"/>
      <c r="C39" s="63"/>
      <c r="D39" s="64"/>
      <c r="E39" s="64"/>
      <c r="F39" s="64"/>
      <c r="G39" s="65"/>
      <c r="H39" s="19"/>
      <c r="I39" s="9">
        <v>31</v>
      </c>
      <c r="J39" s="11" t="s">
        <v>197</v>
      </c>
    </row>
    <row r="40" spans="1:10" ht="12.75" hidden="1" outlineLevel="1" x14ac:dyDescent="0.2">
      <c r="A40" s="62">
        <v>32</v>
      </c>
      <c r="B40" s="63"/>
      <c r="C40" s="63"/>
      <c r="D40" s="64"/>
      <c r="E40" s="64"/>
      <c r="F40" s="64"/>
      <c r="G40" s="65"/>
      <c r="H40" s="19"/>
      <c r="I40" s="9">
        <v>32</v>
      </c>
      <c r="J40" s="11" t="s">
        <v>197</v>
      </c>
    </row>
    <row r="41" spans="1:10" ht="12.75" hidden="1" outlineLevel="1" x14ac:dyDescent="0.2">
      <c r="A41" s="57">
        <v>33</v>
      </c>
      <c r="B41" s="63"/>
      <c r="C41" s="63"/>
      <c r="D41" s="64"/>
      <c r="E41" s="64"/>
      <c r="F41" s="64"/>
      <c r="G41" s="65"/>
      <c r="H41" s="19"/>
      <c r="I41" s="9">
        <v>33</v>
      </c>
      <c r="J41" s="11" t="s">
        <v>197</v>
      </c>
    </row>
    <row r="42" spans="1:10" ht="12.75" hidden="1" outlineLevel="1" x14ac:dyDescent="0.2">
      <c r="A42" s="62">
        <v>34</v>
      </c>
      <c r="B42" s="63"/>
      <c r="C42" s="63"/>
      <c r="D42" s="64"/>
      <c r="E42" s="64"/>
      <c r="F42" s="64"/>
      <c r="G42" s="65"/>
      <c r="H42" s="19"/>
      <c r="I42" s="9">
        <v>34</v>
      </c>
      <c r="J42" s="11" t="s">
        <v>197</v>
      </c>
    </row>
    <row r="43" spans="1:10" ht="12.75" hidden="1" outlineLevel="1" x14ac:dyDescent="0.2">
      <c r="A43" s="62">
        <v>35</v>
      </c>
      <c r="B43" s="63"/>
      <c r="C43" s="63"/>
      <c r="D43" s="64"/>
      <c r="E43" s="64"/>
      <c r="F43" s="64"/>
      <c r="G43" s="65"/>
      <c r="H43" s="19"/>
      <c r="I43" s="9">
        <v>35</v>
      </c>
      <c r="J43" s="11" t="s">
        <v>197</v>
      </c>
    </row>
    <row r="44" spans="1:10" ht="12.75" hidden="1" outlineLevel="1" x14ac:dyDescent="0.2">
      <c r="A44" s="62">
        <v>36</v>
      </c>
      <c r="B44" s="63"/>
      <c r="C44" s="63"/>
      <c r="D44" s="64"/>
      <c r="E44" s="64"/>
      <c r="F44" s="64"/>
      <c r="G44" s="65"/>
      <c r="H44" s="19"/>
      <c r="I44" s="9">
        <v>36</v>
      </c>
      <c r="J44" s="11" t="s">
        <v>197</v>
      </c>
    </row>
    <row r="45" spans="1:10" ht="12.75" hidden="1" outlineLevel="1" x14ac:dyDescent="0.2">
      <c r="A45" s="57">
        <v>37</v>
      </c>
      <c r="B45" s="63"/>
      <c r="C45" s="63"/>
      <c r="D45" s="64"/>
      <c r="E45" s="64"/>
      <c r="F45" s="64"/>
      <c r="G45" s="65"/>
      <c r="H45" s="19"/>
      <c r="I45" s="9">
        <v>37</v>
      </c>
      <c r="J45" s="11" t="s">
        <v>197</v>
      </c>
    </row>
    <row r="46" spans="1:10" ht="12.75" hidden="1" outlineLevel="1" x14ac:dyDescent="0.2">
      <c r="A46" s="62">
        <v>38</v>
      </c>
      <c r="B46" s="63"/>
      <c r="C46" s="63"/>
      <c r="D46" s="64"/>
      <c r="E46" s="64"/>
      <c r="F46" s="64"/>
      <c r="G46" s="65"/>
      <c r="H46" s="19"/>
      <c r="I46" s="9">
        <v>38</v>
      </c>
      <c r="J46" s="11" t="s">
        <v>197</v>
      </c>
    </row>
    <row r="47" spans="1:10" ht="12.75" hidden="1" outlineLevel="1" x14ac:dyDescent="0.2">
      <c r="A47" s="62">
        <v>39</v>
      </c>
      <c r="B47" s="63"/>
      <c r="C47" s="63"/>
      <c r="D47" s="64"/>
      <c r="E47" s="64"/>
      <c r="F47" s="64"/>
      <c r="G47" s="65"/>
      <c r="H47" s="19"/>
      <c r="I47" s="9">
        <v>39</v>
      </c>
      <c r="J47" s="11" t="s">
        <v>197</v>
      </c>
    </row>
    <row r="48" spans="1:10" ht="12.75" hidden="1" outlineLevel="1" x14ac:dyDescent="0.2">
      <c r="A48" s="62">
        <v>40</v>
      </c>
      <c r="B48" s="63"/>
      <c r="C48" s="63"/>
      <c r="D48" s="64"/>
      <c r="E48" s="64"/>
      <c r="F48" s="64"/>
      <c r="G48" s="65"/>
      <c r="H48" s="19"/>
      <c r="I48" s="9">
        <v>40</v>
      </c>
      <c r="J48" s="11" t="s">
        <v>197</v>
      </c>
    </row>
    <row r="49" spans="1:10" ht="12.75" hidden="1" outlineLevel="1" x14ac:dyDescent="0.2">
      <c r="A49" s="57">
        <v>41</v>
      </c>
      <c r="B49" s="63"/>
      <c r="C49" s="63"/>
      <c r="D49" s="64"/>
      <c r="E49" s="64"/>
      <c r="F49" s="64"/>
      <c r="G49" s="65"/>
      <c r="H49" s="19"/>
      <c r="I49" s="9">
        <v>41</v>
      </c>
      <c r="J49" s="11" t="s">
        <v>197</v>
      </c>
    </row>
    <row r="50" spans="1:10" ht="12.75" hidden="1" outlineLevel="1" x14ac:dyDescent="0.2">
      <c r="A50" s="62">
        <v>42</v>
      </c>
      <c r="B50" s="63"/>
      <c r="C50" s="63"/>
      <c r="D50" s="64"/>
      <c r="E50" s="64"/>
      <c r="F50" s="64"/>
      <c r="G50" s="65"/>
      <c r="H50" s="19"/>
      <c r="I50" s="9">
        <v>42</v>
      </c>
      <c r="J50" s="11" t="s">
        <v>197</v>
      </c>
    </row>
    <row r="51" spans="1:10" ht="12.75" hidden="1" outlineLevel="1" x14ac:dyDescent="0.2">
      <c r="A51" s="62">
        <v>43</v>
      </c>
      <c r="B51" s="63"/>
      <c r="C51" s="63"/>
      <c r="D51" s="64"/>
      <c r="E51" s="64"/>
      <c r="F51" s="64"/>
      <c r="G51" s="65"/>
      <c r="H51" s="19"/>
      <c r="I51" s="9">
        <v>43</v>
      </c>
      <c r="J51" s="11" t="s">
        <v>197</v>
      </c>
    </row>
    <row r="52" spans="1:10" ht="12.75" hidden="1" outlineLevel="1" x14ac:dyDescent="0.2">
      <c r="A52" s="62">
        <v>44</v>
      </c>
      <c r="B52" s="63"/>
      <c r="C52" s="63"/>
      <c r="D52" s="64"/>
      <c r="E52" s="64"/>
      <c r="F52" s="64"/>
      <c r="G52" s="65"/>
      <c r="H52" s="19"/>
      <c r="I52" s="9">
        <v>44</v>
      </c>
      <c r="J52" s="11" t="s">
        <v>197</v>
      </c>
    </row>
    <row r="53" spans="1:10" ht="12.75" hidden="1" outlineLevel="1" x14ac:dyDescent="0.2">
      <c r="A53" s="57">
        <v>45</v>
      </c>
      <c r="B53" s="63"/>
      <c r="C53" s="63"/>
      <c r="D53" s="64"/>
      <c r="E53" s="64"/>
      <c r="F53" s="64"/>
      <c r="G53" s="65"/>
      <c r="H53" s="19"/>
      <c r="I53" s="9">
        <v>45</v>
      </c>
      <c r="J53" s="11" t="s">
        <v>197</v>
      </c>
    </row>
    <row r="54" spans="1:10" ht="12.75" hidden="1" outlineLevel="1" x14ac:dyDescent="0.2">
      <c r="A54" s="62">
        <v>46</v>
      </c>
      <c r="B54" s="63"/>
      <c r="C54" s="63"/>
      <c r="D54" s="64"/>
      <c r="E54" s="64"/>
      <c r="F54" s="64"/>
      <c r="G54" s="65"/>
      <c r="H54" s="19"/>
      <c r="I54" s="9">
        <v>46</v>
      </c>
      <c r="J54" s="11" t="s">
        <v>197</v>
      </c>
    </row>
    <row r="55" spans="1:10" ht="12.75" hidden="1" outlineLevel="1" x14ac:dyDescent="0.2">
      <c r="A55" s="62">
        <v>47</v>
      </c>
      <c r="B55" s="63"/>
      <c r="C55" s="63"/>
      <c r="D55" s="64"/>
      <c r="E55" s="64"/>
      <c r="F55" s="64"/>
      <c r="G55" s="65"/>
      <c r="H55" s="19"/>
      <c r="I55" s="9">
        <v>47</v>
      </c>
      <c r="J55" s="11" t="s">
        <v>197</v>
      </c>
    </row>
    <row r="56" spans="1:10" ht="12.75" hidden="1" outlineLevel="1" x14ac:dyDescent="0.2">
      <c r="A56" s="62">
        <v>48</v>
      </c>
      <c r="B56" s="63"/>
      <c r="C56" s="63"/>
      <c r="D56" s="64"/>
      <c r="E56" s="64"/>
      <c r="F56" s="64"/>
      <c r="G56" s="65"/>
      <c r="H56" s="19"/>
      <c r="I56" s="9">
        <v>48</v>
      </c>
      <c r="J56" s="11" t="s">
        <v>197</v>
      </c>
    </row>
    <row r="57" spans="1:10" ht="12.75" hidden="1" outlineLevel="1" x14ac:dyDescent="0.2">
      <c r="A57" s="62">
        <v>49</v>
      </c>
      <c r="B57" s="63"/>
      <c r="C57" s="63"/>
      <c r="D57" s="64"/>
      <c r="E57" s="64"/>
      <c r="F57" s="64"/>
      <c r="G57" s="65"/>
      <c r="H57" s="19"/>
      <c r="I57" s="9">
        <v>49</v>
      </c>
      <c r="J57" s="11" t="s">
        <v>197</v>
      </c>
    </row>
    <row r="58" spans="1:10" ht="12.75" hidden="1" outlineLevel="1" x14ac:dyDescent="0.2">
      <c r="A58" s="62">
        <v>50</v>
      </c>
      <c r="B58" s="63"/>
      <c r="C58" s="63"/>
      <c r="D58" s="64"/>
      <c r="E58" s="64"/>
      <c r="F58" s="64"/>
      <c r="G58" s="65"/>
      <c r="H58" s="19"/>
      <c r="I58" s="9">
        <v>50</v>
      </c>
      <c r="J58" s="11" t="s">
        <v>197</v>
      </c>
    </row>
    <row r="59" spans="1:10" ht="12.75" hidden="1" outlineLevel="1" x14ac:dyDescent="0.2">
      <c r="A59" s="62">
        <v>51</v>
      </c>
      <c r="B59" s="63"/>
      <c r="C59" s="63"/>
      <c r="D59" s="64"/>
      <c r="E59" s="64"/>
      <c r="F59" s="64"/>
      <c r="G59" s="65"/>
      <c r="H59" s="19"/>
      <c r="I59" s="9">
        <v>51</v>
      </c>
      <c r="J59" s="11" t="s">
        <v>197</v>
      </c>
    </row>
    <row r="60" spans="1:10" ht="12.75" hidden="1" outlineLevel="1" x14ac:dyDescent="0.2">
      <c r="A60" s="57">
        <v>52</v>
      </c>
      <c r="B60" s="63"/>
      <c r="C60" s="63"/>
      <c r="D60" s="64"/>
      <c r="E60" s="64"/>
      <c r="F60" s="64"/>
      <c r="G60" s="65"/>
      <c r="H60" s="19"/>
      <c r="I60" s="9">
        <v>52</v>
      </c>
      <c r="J60" s="11" t="s">
        <v>197</v>
      </c>
    </row>
    <row r="61" spans="1:10" ht="12.75" hidden="1" outlineLevel="1" x14ac:dyDescent="0.2">
      <c r="A61" s="62">
        <v>53</v>
      </c>
      <c r="B61" s="63"/>
      <c r="C61" s="63"/>
      <c r="D61" s="64"/>
      <c r="E61" s="64"/>
      <c r="F61" s="64"/>
      <c r="G61" s="65"/>
      <c r="H61" s="19"/>
      <c r="I61" s="9">
        <v>53</v>
      </c>
      <c r="J61" s="11" t="s">
        <v>197</v>
      </c>
    </row>
    <row r="62" spans="1:10" ht="12.75" hidden="1" outlineLevel="1" x14ac:dyDescent="0.2">
      <c r="A62" s="62">
        <v>54</v>
      </c>
      <c r="B62" s="63"/>
      <c r="C62" s="63"/>
      <c r="D62" s="64"/>
      <c r="E62" s="64"/>
      <c r="F62" s="64"/>
      <c r="G62" s="65"/>
      <c r="H62" s="19"/>
      <c r="I62" s="9">
        <v>54</v>
      </c>
      <c r="J62" s="11" t="s">
        <v>197</v>
      </c>
    </row>
    <row r="63" spans="1:10" ht="12.75" hidden="1" outlineLevel="1" x14ac:dyDescent="0.2">
      <c r="A63" s="62">
        <v>55</v>
      </c>
      <c r="B63" s="63"/>
      <c r="C63" s="63"/>
      <c r="D63" s="64"/>
      <c r="E63" s="64"/>
      <c r="F63" s="64"/>
      <c r="G63" s="65"/>
      <c r="H63" s="19"/>
      <c r="I63" s="9">
        <v>55</v>
      </c>
      <c r="J63" s="11" t="s">
        <v>197</v>
      </c>
    </row>
    <row r="64" spans="1:10" ht="12.75" hidden="1" outlineLevel="1" x14ac:dyDescent="0.2">
      <c r="A64" s="57">
        <v>56</v>
      </c>
      <c r="B64" s="63"/>
      <c r="C64" s="63"/>
      <c r="D64" s="64"/>
      <c r="E64" s="64"/>
      <c r="F64" s="64"/>
      <c r="G64" s="65"/>
      <c r="H64" s="19"/>
      <c r="I64" s="9">
        <v>56</v>
      </c>
      <c r="J64" s="11" t="s">
        <v>197</v>
      </c>
    </row>
    <row r="65" spans="1:10" ht="12.75" hidden="1" outlineLevel="1" x14ac:dyDescent="0.2">
      <c r="A65" s="62">
        <v>57</v>
      </c>
      <c r="B65" s="63"/>
      <c r="C65" s="63"/>
      <c r="D65" s="64"/>
      <c r="E65" s="64"/>
      <c r="F65" s="64"/>
      <c r="G65" s="65"/>
      <c r="H65" s="19"/>
      <c r="I65" s="9">
        <v>57</v>
      </c>
      <c r="J65" s="11" t="s">
        <v>197</v>
      </c>
    </row>
    <row r="66" spans="1:10" ht="12.75" hidden="1" outlineLevel="1" x14ac:dyDescent="0.2">
      <c r="A66" s="62">
        <v>58</v>
      </c>
      <c r="B66" s="63"/>
      <c r="C66" s="63"/>
      <c r="D66" s="64"/>
      <c r="E66" s="64"/>
      <c r="F66" s="64"/>
      <c r="G66" s="65"/>
      <c r="H66" s="19"/>
      <c r="I66" s="9">
        <v>58</v>
      </c>
      <c r="J66" s="11" t="s">
        <v>197</v>
      </c>
    </row>
    <row r="67" spans="1:10" ht="12.75" hidden="1" outlineLevel="1" x14ac:dyDescent="0.2">
      <c r="A67" s="62">
        <v>59</v>
      </c>
      <c r="B67" s="63"/>
      <c r="C67" s="63"/>
      <c r="D67" s="64"/>
      <c r="E67" s="64"/>
      <c r="F67" s="64"/>
      <c r="G67" s="65"/>
      <c r="H67" s="19"/>
      <c r="I67" s="9">
        <v>59</v>
      </c>
      <c r="J67" s="11" t="s">
        <v>197</v>
      </c>
    </row>
    <row r="68" spans="1:10" ht="12.75" hidden="1" outlineLevel="1" x14ac:dyDescent="0.2">
      <c r="A68" s="57">
        <v>60</v>
      </c>
      <c r="B68" s="63"/>
      <c r="C68" s="63"/>
      <c r="D68" s="64"/>
      <c r="E68" s="64"/>
      <c r="F68" s="64"/>
      <c r="G68" s="65"/>
      <c r="H68" s="19"/>
      <c r="I68" s="9">
        <v>60</v>
      </c>
      <c r="J68" s="11" t="s">
        <v>197</v>
      </c>
    </row>
    <row r="69" spans="1:10" ht="12.75" hidden="1" outlineLevel="1" x14ac:dyDescent="0.2">
      <c r="A69" s="62">
        <v>61</v>
      </c>
      <c r="B69" s="63"/>
      <c r="C69" s="63"/>
      <c r="D69" s="64"/>
      <c r="E69" s="64"/>
      <c r="F69" s="64"/>
      <c r="G69" s="65"/>
      <c r="H69" s="19"/>
      <c r="I69" s="9">
        <v>61</v>
      </c>
      <c r="J69" s="11" t="s">
        <v>197</v>
      </c>
    </row>
    <row r="70" spans="1:10" ht="12.75" hidden="1" outlineLevel="1" x14ac:dyDescent="0.2">
      <c r="A70" s="62">
        <v>62</v>
      </c>
      <c r="B70" s="63"/>
      <c r="C70" s="63"/>
      <c r="D70" s="64"/>
      <c r="E70" s="64"/>
      <c r="F70" s="64"/>
      <c r="G70" s="65"/>
      <c r="H70" s="19"/>
      <c r="I70" s="9">
        <v>62</v>
      </c>
      <c r="J70" s="11" t="s">
        <v>197</v>
      </c>
    </row>
    <row r="71" spans="1:10" ht="12.75" hidden="1" outlineLevel="1" x14ac:dyDescent="0.2">
      <c r="A71" s="66">
        <v>63</v>
      </c>
      <c r="B71" s="63"/>
      <c r="C71" s="63"/>
      <c r="D71" s="64"/>
      <c r="E71" s="64"/>
      <c r="F71" s="64"/>
      <c r="G71" s="65"/>
      <c r="H71" s="19"/>
      <c r="I71" s="9">
        <v>63</v>
      </c>
      <c r="J71" s="11" t="s">
        <v>197</v>
      </c>
    </row>
    <row r="72" spans="1:10" ht="12.75" hidden="1" outlineLevel="1" x14ac:dyDescent="0.2">
      <c r="A72" s="57">
        <v>64</v>
      </c>
      <c r="B72" s="63"/>
      <c r="C72" s="63"/>
      <c r="D72" s="64"/>
      <c r="E72" s="64"/>
      <c r="F72" s="64"/>
      <c r="G72" s="65"/>
      <c r="H72" s="19"/>
      <c r="I72" s="9">
        <v>64</v>
      </c>
      <c r="J72" s="11" t="s">
        <v>197</v>
      </c>
    </row>
    <row r="73" spans="1:10" ht="12.75" hidden="1" outlineLevel="1" x14ac:dyDescent="0.2">
      <c r="A73" s="62">
        <v>65</v>
      </c>
      <c r="B73" s="63"/>
      <c r="C73" s="63"/>
      <c r="D73" s="64"/>
      <c r="E73" s="64"/>
      <c r="F73" s="64"/>
      <c r="G73" s="65"/>
      <c r="H73" s="19"/>
      <c r="I73" s="9">
        <v>65</v>
      </c>
      <c r="J73" s="11" t="s">
        <v>197</v>
      </c>
    </row>
    <row r="74" spans="1:10" ht="12.75" hidden="1" outlineLevel="1" x14ac:dyDescent="0.2">
      <c r="A74" s="62">
        <v>66</v>
      </c>
      <c r="B74" s="63"/>
      <c r="C74" s="63"/>
      <c r="D74" s="64"/>
      <c r="E74" s="64"/>
      <c r="F74" s="64"/>
      <c r="G74" s="65"/>
      <c r="H74" s="19"/>
      <c r="I74" s="9">
        <v>66</v>
      </c>
      <c r="J74" s="11" t="s">
        <v>197</v>
      </c>
    </row>
    <row r="75" spans="1:10" ht="12.75" hidden="1" outlineLevel="1" x14ac:dyDescent="0.2">
      <c r="A75" s="62">
        <v>67</v>
      </c>
      <c r="B75" s="63"/>
      <c r="C75" s="63"/>
      <c r="D75" s="64"/>
      <c r="E75" s="64"/>
      <c r="F75" s="64"/>
      <c r="G75" s="65"/>
      <c r="H75" s="19"/>
      <c r="I75" s="9">
        <v>67</v>
      </c>
      <c r="J75" s="11" t="s">
        <v>197</v>
      </c>
    </row>
    <row r="76" spans="1:10" ht="12.75" hidden="1" outlineLevel="1" x14ac:dyDescent="0.2">
      <c r="A76" s="57">
        <v>68</v>
      </c>
      <c r="B76" s="63"/>
      <c r="C76" s="63"/>
      <c r="D76" s="64"/>
      <c r="E76" s="64"/>
      <c r="F76" s="64"/>
      <c r="G76" s="65"/>
      <c r="H76" s="19"/>
      <c r="I76" s="9">
        <v>68</v>
      </c>
      <c r="J76" s="11" t="s">
        <v>197</v>
      </c>
    </row>
    <row r="77" spans="1:10" ht="12.75" hidden="1" outlineLevel="1" x14ac:dyDescent="0.2">
      <c r="A77" s="62">
        <v>69</v>
      </c>
      <c r="B77" s="63"/>
      <c r="C77" s="63"/>
      <c r="D77" s="64"/>
      <c r="E77" s="64"/>
      <c r="F77" s="64"/>
      <c r="G77" s="65"/>
      <c r="H77" s="19"/>
      <c r="I77" s="9">
        <v>69</v>
      </c>
      <c r="J77" s="11" t="s">
        <v>197</v>
      </c>
    </row>
    <row r="78" spans="1:10" ht="12.75" hidden="1" outlineLevel="1" x14ac:dyDescent="0.2">
      <c r="A78" s="62">
        <v>70</v>
      </c>
      <c r="B78" s="63"/>
      <c r="C78" s="63"/>
      <c r="D78" s="64"/>
      <c r="E78" s="64"/>
      <c r="F78" s="64"/>
      <c r="G78" s="65"/>
      <c r="H78" s="19"/>
      <c r="I78" s="9">
        <v>70</v>
      </c>
      <c r="J78" s="11" t="s">
        <v>197</v>
      </c>
    </row>
    <row r="79" spans="1:10" ht="12.75" hidden="1" outlineLevel="1" x14ac:dyDescent="0.2">
      <c r="A79" s="62">
        <v>71</v>
      </c>
      <c r="B79" s="63"/>
      <c r="C79" s="63"/>
      <c r="D79" s="64"/>
      <c r="E79" s="64"/>
      <c r="F79" s="64"/>
      <c r="G79" s="65"/>
      <c r="H79" s="19"/>
      <c r="I79" s="9">
        <v>71</v>
      </c>
      <c r="J79" s="11" t="s">
        <v>197</v>
      </c>
    </row>
    <row r="80" spans="1:10" ht="12.75" hidden="1" outlineLevel="1" x14ac:dyDescent="0.2">
      <c r="A80" s="57">
        <v>72</v>
      </c>
      <c r="B80" s="63"/>
      <c r="C80" s="63"/>
      <c r="D80" s="64"/>
      <c r="E80" s="64"/>
      <c r="F80" s="64"/>
      <c r="G80" s="65"/>
      <c r="H80" s="19"/>
      <c r="I80" s="9">
        <v>72</v>
      </c>
      <c r="J80" s="11" t="s">
        <v>197</v>
      </c>
    </row>
    <row r="81" spans="1:10" ht="12.75" hidden="1" outlineLevel="1" x14ac:dyDescent="0.2">
      <c r="A81" s="62">
        <v>73</v>
      </c>
      <c r="B81" s="63"/>
      <c r="C81" s="63"/>
      <c r="D81" s="64"/>
      <c r="E81" s="64"/>
      <c r="F81" s="64"/>
      <c r="G81" s="65"/>
      <c r="H81" s="19"/>
      <c r="I81" s="9">
        <v>73</v>
      </c>
      <c r="J81" s="11" t="s">
        <v>197</v>
      </c>
    </row>
    <row r="82" spans="1:10" ht="12.75" hidden="1" outlineLevel="1" x14ac:dyDescent="0.2">
      <c r="A82" s="62">
        <v>74</v>
      </c>
      <c r="B82" s="63"/>
      <c r="C82" s="63"/>
      <c r="D82" s="64"/>
      <c r="E82" s="64"/>
      <c r="F82" s="64"/>
      <c r="G82" s="65"/>
      <c r="H82" s="19"/>
      <c r="I82" s="9">
        <v>74</v>
      </c>
      <c r="J82" s="11" t="s">
        <v>197</v>
      </c>
    </row>
    <row r="83" spans="1:10" ht="12.75" hidden="1" outlineLevel="1" x14ac:dyDescent="0.2">
      <c r="A83" s="62">
        <v>75</v>
      </c>
      <c r="B83" s="63"/>
      <c r="C83" s="63"/>
      <c r="D83" s="64"/>
      <c r="E83" s="64"/>
      <c r="F83" s="64"/>
      <c r="G83" s="65"/>
      <c r="H83" s="19"/>
      <c r="I83" s="9">
        <v>75</v>
      </c>
      <c r="J83" s="11" t="s">
        <v>197</v>
      </c>
    </row>
    <row r="84" spans="1:10" ht="12.75" hidden="1" outlineLevel="1" x14ac:dyDescent="0.2">
      <c r="A84" s="57">
        <v>76</v>
      </c>
      <c r="B84" s="63"/>
      <c r="C84" s="63"/>
      <c r="D84" s="64"/>
      <c r="E84" s="64"/>
      <c r="F84" s="64"/>
      <c r="G84" s="65"/>
      <c r="H84" s="19"/>
      <c r="I84" s="9">
        <v>76</v>
      </c>
      <c r="J84" s="11" t="s">
        <v>197</v>
      </c>
    </row>
    <row r="85" spans="1:10" ht="12.75" hidden="1" outlineLevel="1" x14ac:dyDescent="0.2">
      <c r="A85" s="62">
        <v>77</v>
      </c>
      <c r="B85" s="63"/>
      <c r="C85" s="63"/>
      <c r="D85" s="64"/>
      <c r="E85" s="64"/>
      <c r="F85" s="64"/>
      <c r="G85" s="65"/>
      <c r="H85" s="19"/>
      <c r="I85" s="9">
        <v>77</v>
      </c>
      <c r="J85" s="11" t="s">
        <v>197</v>
      </c>
    </row>
    <row r="86" spans="1:10" ht="12.75" hidden="1" outlineLevel="1" x14ac:dyDescent="0.2">
      <c r="A86" s="62">
        <v>78</v>
      </c>
      <c r="B86" s="63"/>
      <c r="C86" s="63"/>
      <c r="D86" s="64"/>
      <c r="E86" s="64"/>
      <c r="F86" s="64"/>
      <c r="G86" s="65"/>
      <c r="H86" s="19"/>
      <c r="I86" s="9">
        <v>78</v>
      </c>
      <c r="J86" s="11" t="s">
        <v>197</v>
      </c>
    </row>
    <row r="87" spans="1:10" ht="12.75" hidden="1" outlineLevel="1" x14ac:dyDescent="0.2">
      <c r="A87" s="62">
        <v>79</v>
      </c>
      <c r="B87" s="63"/>
      <c r="C87" s="63"/>
      <c r="D87" s="64"/>
      <c r="E87" s="64"/>
      <c r="F87" s="64"/>
      <c r="G87" s="65"/>
      <c r="H87" s="19"/>
      <c r="I87" s="9">
        <v>79</v>
      </c>
      <c r="J87" s="11" t="s">
        <v>197</v>
      </c>
    </row>
    <row r="88" spans="1:10" ht="12.75" hidden="1" outlineLevel="1" x14ac:dyDescent="0.2">
      <c r="A88" s="57">
        <v>80</v>
      </c>
      <c r="B88" s="63"/>
      <c r="C88" s="63"/>
      <c r="D88" s="64"/>
      <c r="E88" s="64"/>
      <c r="F88" s="64"/>
      <c r="G88" s="65"/>
      <c r="H88" s="19"/>
      <c r="I88" s="9">
        <v>80</v>
      </c>
      <c r="J88" s="11" t="s">
        <v>197</v>
      </c>
    </row>
    <row r="89" spans="1:10" ht="12.75" hidden="1" outlineLevel="1" x14ac:dyDescent="0.2">
      <c r="A89" s="62">
        <v>81</v>
      </c>
      <c r="B89" s="63"/>
      <c r="C89" s="63"/>
      <c r="D89" s="64"/>
      <c r="E89" s="64"/>
      <c r="F89" s="64"/>
      <c r="G89" s="65"/>
      <c r="H89" s="19"/>
      <c r="I89" s="9">
        <v>81</v>
      </c>
      <c r="J89" s="11" t="s">
        <v>197</v>
      </c>
    </row>
    <row r="90" spans="1:10" ht="12.75" hidden="1" outlineLevel="1" x14ac:dyDescent="0.2">
      <c r="A90" s="62">
        <v>82</v>
      </c>
      <c r="B90" s="63"/>
      <c r="C90" s="63"/>
      <c r="D90" s="64"/>
      <c r="E90" s="64"/>
      <c r="F90" s="64"/>
      <c r="G90" s="65"/>
      <c r="H90" s="19"/>
      <c r="I90" s="9">
        <v>82</v>
      </c>
      <c r="J90" s="11" t="s">
        <v>197</v>
      </c>
    </row>
    <row r="91" spans="1:10" ht="12.75" hidden="1" outlineLevel="1" x14ac:dyDescent="0.2">
      <c r="A91" s="62">
        <v>83</v>
      </c>
      <c r="B91" s="63"/>
      <c r="C91" s="63"/>
      <c r="D91" s="64"/>
      <c r="E91" s="64"/>
      <c r="F91" s="64"/>
      <c r="G91" s="65"/>
      <c r="H91" s="19"/>
      <c r="I91" s="9">
        <v>83</v>
      </c>
      <c r="J91" s="11" t="s">
        <v>197</v>
      </c>
    </row>
    <row r="92" spans="1:10" ht="12.75" hidden="1" outlineLevel="1" x14ac:dyDescent="0.2">
      <c r="A92" s="57">
        <v>84</v>
      </c>
      <c r="B92" s="63"/>
      <c r="C92" s="63"/>
      <c r="D92" s="64"/>
      <c r="E92" s="64"/>
      <c r="F92" s="64"/>
      <c r="G92" s="65"/>
      <c r="H92" s="19"/>
      <c r="I92" s="9">
        <v>84</v>
      </c>
      <c r="J92" s="11" t="s">
        <v>197</v>
      </c>
    </row>
    <row r="93" spans="1:10" ht="12.75" hidden="1" outlineLevel="1" x14ac:dyDescent="0.2">
      <c r="A93" s="62">
        <v>85</v>
      </c>
      <c r="B93" s="63"/>
      <c r="C93" s="63"/>
      <c r="D93" s="64"/>
      <c r="E93" s="64"/>
      <c r="F93" s="64"/>
      <c r="G93" s="65"/>
      <c r="H93" s="19"/>
      <c r="I93" s="9">
        <v>85</v>
      </c>
      <c r="J93" s="11" t="s">
        <v>197</v>
      </c>
    </row>
    <row r="94" spans="1:10" ht="12.75" hidden="1" outlineLevel="1" x14ac:dyDescent="0.2">
      <c r="A94" s="62">
        <v>86</v>
      </c>
      <c r="B94" s="63"/>
      <c r="C94" s="63"/>
      <c r="D94" s="64"/>
      <c r="E94" s="64"/>
      <c r="F94" s="64"/>
      <c r="G94" s="65"/>
      <c r="H94" s="19"/>
      <c r="I94" s="9">
        <v>86</v>
      </c>
      <c r="J94" s="11" t="s">
        <v>197</v>
      </c>
    </row>
    <row r="95" spans="1:10" ht="12.75" hidden="1" outlineLevel="1" x14ac:dyDescent="0.2">
      <c r="A95" s="62">
        <v>87</v>
      </c>
      <c r="B95" s="63"/>
      <c r="C95" s="63"/>
      <c r="D95" s="64"/>
      <c r="E95" s="64"/>
      <c r="F95" s="64"/>
      <c r="G95" s="65"/>
      <c r="H95" s="19"/>
      <c r="I95" s="9">
        <v>87</v>
      </c>
      <c r="J95" s="11" t="s">
        <v>197</v>
      </c>
    </row>
    <row r="96" spans="1:10" ht="12.75" hidden="1" outlineLevel="1" x14ac:dyDescent="0.2">
      <c r="A96" s="57">
        <v>88</v>
      </c>
      <c r="B96" s="63"/>
      <c r="C96" s="63"/>
      <c r="D96" s="64"/>
      <c r="E96" s="64"/>
      <c r="F96" s="64"/>
      <c r="G96" s="65"/>
      <c r="H96" s="19"/>
      <c r="I96" s="9">
        <v>88</v>
      </c>
      <c r="J96" s="11" t="s">
        <v>197</v>
      </c>
    </row>
    <row r="97" spans="1:10" ht="12.75" hidden="1" outlineLevel="1" x14ac:dyDescent="0.2">
      <c r="A97" s="62">
        <v>89</v>
      </c>
      <c r="B97" s="63"/>
      <c r="C97" s="63"/>
      <c r="D97" s="64"/>
      <c r="E97" s="64"/>
      <c r="F97" s="64"/>
      <c r="G97" s="65"/>
      <c r="H97" s="19"/>
      <c r="I97" s="9">
        <v>89</v>
      </c>
      <c r="J97" s="11" t="s">
        <v>197</v>
      </c>
    </row>
    <row r="98" spans="1:10" ht="12.75" hidden="1" outlineLevel="1" x14ac:dyDescent="0.2">
      <c r="A98" s="62">
        <v>90</v>
      </c>
      <c r="B98" s="63"/>
      <c r="C98" s="63"/>
      <c r="D98" s="64"/>
      <c r="E98" s="64"/>
      <c r="F98" s="64"/>
      <c r="G98" s="65"/>
      <c r="H98" s="19"/>
      <c r="I98" s="9">
        <v>90</v>
      </c>
      <c r="J98" s="11" t="s">
        <v>197</v>
      </c>
    </row>
    <row r="99" spans="1:10" ht="12.75" hidden="1" outlineLevel="1" x14ac:dyDescent="0.2">
      <c r="A99" s="62">
        <v>91</v>
      </c>
      <c r="B99" s="63"/>
      <c r="C99" s="63"/>
      <c r="D99" s="64"/>
      <c r="E99" s="64"/>
      <c r="F99" s="64"/>
      <c r="G99" s="65"/>
      <c r="H99" s="19"/>
      <c r="I99" s="9">
        <v>91</v>
      </c>
      <c r="J99" s="11" t="s">
        <v>197</v>
      </c>
    </row>
    <row r="100" spans="1:10" ht="12.75" hidden="1" outlineLevel="1" x14ac:dyDescent="0.2">
      <c r="A100" s="62">
        <v>92</v>
      </c>
      <c r="B100" s="58"/>
      <c r="C100" s="58"/>
      <c r="D100" s="59"/>
      <c r="E100" s="64"/>
      <c r="F100" s="64"/>
      <c r="G100" s="61"/>
      <c r="H100" s="19"/>
      <c r="I100" s="9">
        <v>92</v>
      </c>
      <c r="J100" s="11" t="s">
        <v>197</v>
      </c>
    </row>
    <row r="101" spans="1:10" ht="12.75" hidden="1" outlineLevel="1" x14ac:dyDescent="0.2">
      <c r="A101" s="62">
        <v>93</v>
      </c>
      <c r="B101" s="63"/>
      <c r="C101" s="63"/>
      <c r="D101" s="64"/>
      <c r="E101" s="64"/>
      <c r="F101" s="64"/>
      <c r="G101" s="65"/>
      <c r="H101" s="19"/>
      <c r="I101" s="9">
        <v>93</v>
      </c>
      <c r="J101" s="11" t="s">
        <v>197</v>
      </c>
    </row>
    <row r="102" spans="1:10" ht="12.75" hidden="1" outlineLevel="1" x14ac:dyDescent="0.2">
      <c r="A102" s="62">
        <v>94</v>
      </c>
      <c r="B102" s="63"/>
      <c r="C102" s="63"/>
      <c r="D102" s="64"/>
      <c r="E102" s="64"/>
      <c r="F102" s="64"/>
      <c r="G102" s="65"/>
      <c r="H102" s="19"/>
      <c r="I102" s="9">
        <v>94</v>
      </c>
      <c r="J102" s="11" t="s">
        <v>197</v>
      </c>
    </row>
    <row r="103" spans="1:10" ht="12.75" hidden="1" outlineLevel="1" x14ac:dyDescent="0.2">
      <c r="A103" s="57">
        <v>95</v>
      </c>
      <c r="B103" s="58"/>
      <c r="C103" s="58"/>
      <c r="D103" s="59"/>
      <c r="E103" s="64"/>
      <c r="F103" s="64"/>
      <c r="G103" s="61"/>
      <c r="H103" s="19"/>
      <c r="I103" s="9">
        <v>95</v>
      </c>
      <c r="J103" s="11" t="s">
        <v>197</v>
      </c>
    </row>
    <row r="104" spans="1:10" ht="12.75" hidden="1" outlineLevel="1" x14ac:dyDescent="0.2">
      <c r="A104" s="62">
        <v>96</v>
      </c>
      <c r="B104" s="63"/>
      <c r="C104" s="63"/>
      <c r="D104" s="64"/>
      <c r="E104" s="64"/>
      <c r="F104" s="64"/>
      <c r="G104" s="65"/>
      <c r="H104" s="19"/>
      <c r="I104" s="9">
        <v>96</v>
      </c>
      <c r="J104" s="11" t="s">
        <v>197</v>
      </c>
    </row>
    <row r="105" spans="1:10" ht="12.75" hidden="1" outlineLevel="1" x14ac:dyDescent="0.2">
      <c r="A105" s="62">
        <v>97</v>
      </c>
      <c r="B105" s="63"/>
      <c r="C105" s="63"/>
      <c r="D105" s="64"/>
      <c r="E105" s="64"/>
      <c r="F105" s="64"/>
      <c r="G105" s="65"/>
      <c r="H105" s="19"/>
      <c r="I105" s="9">
        <v>97</v>
      </c>
      <c r="J105" s="11" t="s">
        <v>197</v>
      </c>
    </row>
    <row r="106" spans="1:10" ht="12.75" hidden="1" outlineLevel="1" x14ac:dyDescent="0.2">
      <c r="A106" s="62">
        <v>98</v>
      </c>
      <c r="B106" s="58"/>
      <c r="C106" s="58"/>
      <c r="D106" s="59"/>
      <c r="E106" s="64"/>
      <c r="F106" s="64"/>
      <c r="G106" s="61"/>
      <c r="H106" s="19"/>
      <c r="I106" s="9">
        <v>98</v>
      </c>
      <c r="J106" s="11" t="s">
        <v>197</v>
      </c>
    </row>
    <row r="107" spans="1:10" ht="12.75" hidden="1" outlineLevel="1" x14ac:dyDescent="0.2">
      <c r="A107" s="57">
        <v>99</v>
      </c>
      <c r="B107" s="63"/>
      <c r="C107" s="63"/>
      <c r="D107" s="64"/>
      <c r="E107" s="64"/>
      <c r="F107" s="64"/>
      <c r="G107" s="65"/>
      <c r="H107" s="19"/>
      <c r="I107" s="9">
        <v>99</v>
      </c>
      <c r="J107" s="11" t="s">
        <v>197</v>
      </c>
    </row>
    <row r="108" spans="1:10" ht="12.75" hidden="1" outlineLevel="1" x14ac:dyDescent="0.2">
      <c r="A108" s="62">
        <v>100</v>
      </c>
      <c r="B108" s="63"/>
      <c r="C108" s="63"/>
      <c r="D108" s="64"/>
      <c r="E108" s="64"/>
      <c r="F108" s="64"/>
      <c r="G108" s="65"/>
      <c r="H108" s="19"/>
      <c r="I108" s="9">
        <v>100</v>
      </c>
      <c r="J108" s="11" t="s">
        <v>197</v>
      </c>
    </row>
    <row r="109" spans="1:10" ht="12.75" hidden="1" outlineLevel="1" x14ac:dyDescent="0.2">
      <c r="A109" s="62">
        <v>101</v>
      </c>
      <c r="B109" s="58"/>
      <c r="C109" s="58"/>
      <c r="D109" s="59"/>
      <c r="E109" s="64"/>
      <c r="F109" s="64"/>
      <c r="G109" s="61"/>
      <c r="H109" s="19"/>
      <c r="I109" s="9">
        <v>101</v>
      </c>
      <c r="J109" s="11" t="s">
        <v>197</v>
      </c>
    </row>
    <row r="110" spans="1:10" ht="12.75" hidden="1" outlineLevel="1" x14ac:dyDescent="0.2">
      <c r="A110" s="62">
        <v>102</v>
      </c>
      <c r="B110" s="63"/>
      <c r="C110" s="63"/>
      <c r="D110" s="64"/>
      <c r="E110" s="64"/>
      <c r="F110" s="64"/>
      <c r="G110" s="65"/>
      <c r="H110" s="19"/>
      <c r="I110" s="9">
        <v>102</v>
      </c>
      <c r="J110" s="11" t="s">
        <v>197</v>
      </c>
    </row>
    <row r="111" spans="1:10" ht="12.75" hidden="1" outlineLevel="1" x14ac:dyDescent="0.2">
      <c r="A111" s="57">
        <v>103</v>
      </c>
      <c r="B111" s="63"/>
      <c r="C111" s="63"/>
      <c r="D111" s="64"/>
      <c r="E111" s="64"/>
      <c r="F111" s="64"/>
      <c r="G111" s="65"/>
      <c r="H111" s="19"/>
      <c r="I111" s="9">
        <v>103</v>
      </c>
      <c r="J111" s="11" t="s">
        <v>197</v>
      </c>
    </row>
    <row r="112" spans="1:10" ht="12.75" hidden="1" outlineLevel="1" x14ac:dyDescent="0.2">
      <c r="A112" s="62">
        <v>104</v>
      </c>
      <c r="B112" s="58"/>
      <c r="C112" s="58"/>
      <c r="D112" s="59"/>
      <c r="E112" s="64"/>
      <c r="F112" s="64"/>
      <c r="G112" s="61"/>
      <c r="H112" s="19"/>
      <c r="I112" s="9">
        <v>104</v>
      </c>
      <c r="J112" s="11" t="s">
        <v>197</v>
      </c>
    </row>
    <row r="113" spans="1:10" ht="12.75" hidden="1" outlineLevel="1" x14ac:dyDescent="0.2">
      <c r="A113" s="62">
        <v>105</v>
      </c>
      <c r="B113" s="63"/>
      <c r="C113" s="63"/>
      <c r="D113" s="64"/>
      <c r="E113" s="64"/>
      <c r="F113" s="64"/>
      <c r="G113" s="65"/>
      <c r="H113" s="19"/>
      <c r="I113" s="9">
        <v>105</v>
      </c>
      <c r="J113" s="11" t="s">
        <v>197</v>
      </c>
    </row>
    <row r="114" spans="1:10" ht="12.75" hidden="1" outlineLevel="1" x14ac:dyDescent="0.2">
      <c r="A114" s="66">
        <v>106</v>
      </c>
      <c r="B114" s="63"/>
      <c r="C114" s="63"/>
      <c r="D114" s="64"/>
      <c r="E114" s="64"/>
      <c r="F114" s="64"/>
      <c r="G114" s="65"/>
      <c r="H114" s="19"/>
      <c r="I114" s="9">
        <v>106</v>
      </c>
      <c r="J114" s="11" t="s">
        <v>197</v>
      </c>
    </row>
    <row r="115" spans="1:10" ht="12.75" hidden="1" outlineLevel="1" x14ac:dyDescent="0.2">
      <c r="A115" s="57">
        <v>107</v>
      </c>
      <c r="B115" s="58"/>
      <c r="C115" s="58"/>
      <c r="D115" s="59"/>
      <c r="E115" s="64"/>
      <c r="F115" s="64"/>
      <c r="G115" s="61"/>
      <c r="H115" s="19"/>
      <c r="I115" s="9">
        <v>107</v>
      </c>
      <c r="J115" s="11" t="s">
        <v>197</v>
      </c>
    </row>
    <row r="116" spans="1:10" ht="12.75" hidden="1" outlineLevel="1" x14ac:dyDescent="0.2">
      <c r="A116" s="62">
        <v>108</v>
      </c>
      <c r="B116" s="63"/>
      <c r="C116" s="63"/>
      <c r="D116" s="64"/>
      <c r="E116" s="64"/>
      <c r="F116" s="64"/>
      <c r="G116" s="65"/>
      <c r="H116" s="19"/>
      <c r="I116" s="9">
        <v>108</v>
      </c>
      <c r="J116" s="11" t="s">
        <v>197</v>
      </c>
    </row>
    <row r="117" spans="1:10" ht="12.75" hidden="1" outlineLevel="1" x14ac:dyDescent="0.2">
      <c r="A117" s="62">
        <v>109</v>
      </c>
      <c r="B117" s="63"/>
      <c r="C117" s="63"/>
      <c r="D117" s="64"/>
      <c r="E117" s="64"/>
      <c r="F117" s="64"/>
      <c r="G117" s="65"/>
      <c r="H117" s="19"/>
      <c r="I117" s="9">
        <v>109</v>
      </c>
      <c r="J117" s="11" t="s">
        <v>197</v>
      </c>
    </row>
    <row r="118" spans="1:10" ht="12.75" hidden="1" outlineLevel="1" x14ac:dyDescent="0.2">
      <c r="A118" s="62">
        <v>110</v>
      </c>
      <c r="B118" s="58"/>
      <c r="C118" s="58"/>
      <c r="D118" s="59"/>
      <c r="E118" s="64"/>
      <c r="F118" s="64"/>
      <c r="G118" s="61"/>
      <c r="H118" s="19"/>
      <c r="I118" s="9">
        <v>110</v>
      </c>
      <c r="J118" s="11" t="s">
        <v>197</v>
      </c>
    </row>
    <row r="119" spans="1:10" ht="12.75" hidden="1" outlineLevel="1" x14ac:dyDescent="0.2">
      <c r="A119" s="57">
        <v>111</v>
      </c>
      <c r="B119" s="63"/>
      <c r="C119" s="63"/>
      <c r="D119" s="64"/>
      <c r="E119" s="64"/>
      <c r="F119" s="64"/>
      <c r="G119" s="65"/>
      <c r="H119" s="19"/>
      <c r="I119" s="9">
        <v>111</v>
      </c>
      <c r="J119" s="11" t="s">
        <v>197</v>
      </c>
    </row>
    <row r="120" spans="1:10" ht="12.75" hidden="1" outlineLevel="1" x14ac:dyDescent="0.2">
      <c r="A120" s="62">
        <v>112</v>
      </c>
      <c r="B120" s="63"/>
      <c r="C120" s="63"/>
      <c r="D120" s="64"/>
      <c r="E120" s="64"/>
      <c r="F120" s="64"/>
      <c r="G120" s="65"/>
      <c r="H120" s="19"/>
      <c r="I120" s="9">
        <v>112</v>
      </c>
      <c r="J120" s="11" t="s">
        <v>197</v>
      </c>
    </row>
    <row r="121" spans="1:10" ht="12.75" hidden="1" outlineLevel="1" x14ac:dyDescent="0.2">
      <c r="A121" s="62">
        <v>113</v>
      </c>
      <c r="B121" s="58"/>
      <c r="C121" s="58"/>
      <c r="D121" s="59"/>
      <c r="E121" s="64"/>
      <c r="F121" s="64"/>
      <c r="G121" s="61"/>
      <c r="H121" s="19"/>
      <c r="I121" s="9">
        <v>113</v>
      </c>
      <c r="J121" s="11" t="s">
        <v>197</v>
      </c>
    </row>
    <row r="122" spans="1:10" ht="12.75" hidden="1" outlineLevel="1" x14ac:dyDescent="0.2">
      <c r="A122" s="62">
        <v>114</v>
      </c>
      <c r="B122" s="63"/>
      <c r="C122" s="63"/>
      <c r="D122" s="64"/>
      <c r="E122" s="64"/>
      <c r="F122" s="64"/>
      <c r="G122" s="65"/>
      <c r="H122" s="19"/>
      <c r="I122" s="9">
        <v>114</v>
      </c>
      <c r="J122" s="11" t="s">
        <v>197</v>
      </c>
    </row>
    <row r="123" spans="1:10" ht="12.75" hidden="1" outlineLevel="1" x14ac:dyDescent="0.2">
      <c r="A123" s="57">
        <v>115</v>
      </c>
      <c r="B123" s="63"/>
      <c r="C123" s="63"/>
      <c r="D123" s="64"/>
      <c r="E123" s="64"/>
      <c r="F123" s="64"/>
      <c r="G123" s="65"/>
      <c r="H123" s="19"/>
      <c r="I123" s="9">
        <v>115</v>
      </c>
      <c r="J123" s="11" t="s">
        <v>197</v>
      </c>
    </row>
    <row r="124" spans="1:10" ht="12.75" hidden="1" outlineLevel="1" x14ac:dyDescent="0.2">
      <c r="A124" s="62">
        <v>116</v>
      </c>
      <c r="B124" s="58"/>
      <c r="C124" s="58"/>
      <c r="D124" s="59"/>
      <c r="E124" s="64"/>
      <c r="F124" s="64"/>
      <c r="G124" s="61"/>
      <c r="H124" s="19"/>
      <c r="I124" s="9">
        <v>116</v>
      </c>
      <c r="J124" s="11" t="s">
        <v>197</v>
      </c>
    </row>
    <row r="125" spans="1:10" ht="12.75" hidden="1" outlineLevel="1" x14ac:dyDescent="0.2">
      <c r="A125" s="62">
        <v>117</v>
      </c>
      <c r="B125" s="63"/>
      <c r="C125" s="63"/>
      <c r="D125" s="64"/>
      <c r="E125" s="64"/>
      <c r="F125" s="64"/>
      <c r="G125" s="65"/>
      <c r="H125" s="19"/>
      <c r="I125" s="9">
        <v>117</v>
      </c>
      <c r="J125" s="11" t="s">
        <v>197</v>
      </c>
    </row>
    <row r="126" spans="1:10" ht="12.75" hidden="1" outlineLevel="1" x14ac:dyDescent="0.2">
      <c r="A126" s="62">
        <v>118</v>
      </c>
      <c r="B126" s="63"/>
      <c r="C126" s="63"/>
      <c r="D126" s="64"/>
      <c r="E126" s="64"/>
      <c r="F126" s="64"/>
      <c r="G126" s="65"/>
      <c r="H126" s="19"/>
      <c r="I126" s="9">
        <v>118</v>
      </c>
      <c r="J126" s="11" t="s">
        <v>197</v>
      </c>
    </row>
    <row r="127" spans="1:10" ht="12.75" hidden="1" outlineLevel="1" x14ac:dyDescent="0.2">
      <c r="A127" s="57">
        <v>119</v>
      </c>
      <c r="B127" s="58"/>
      <c r="C127" s="58"/>
      <c r="D127" s="59"/>
      <c r="E127" s="64"/>
      <c r="F127" s="64"/>
      <c r="G127" s="61"/>
      <c r="H127" s="19"/>
      <c r="I127" s="9">
        <v>119</v>
      </c>
      <c r="J127" s="11" t="s">
        <v>197</v>
      </c>
    </row>
    <row r="128" spans="1:10" ht="12.75" hidden="1" outlineLevel="1" x14ac:dyDescent="0.2">
      <c r="A128" s="62">
        <v>120</v>
      </c>
      <c r="B128" s="63"/>
      <c r="C128" s="63"/>
      <c r="D128" s="64"/>
      <c r="E128" s="64"/>
      <c r="F128" s="64"/>
      <c r="G128" s="65"/>
      <c r="H128" s="19"/>
      <c r="I128" s="9">
        <v>120</v>
      </c>
      <c r="J128" s="11" t="s">
        <v>197</v>
      </c>
    </row>
    <row r="129" spans="1:10" ht="12.75" hidden="1" outlineLevel="1" x14ac:dyDescent="0.2">
      <c r="A129" s="62">
        <v>121</v>
      </c>
      <c r="B129" s="63"/>
      <c r="C129" s="63"/>
      <c r="D129" s="64"/>
      <c r="E129" s="64"/>
      <c r="F129" s="64"/>
      <c r="G129" s="65"/>
      <c r="H129" s="19"/>
      <c r="I129" s="9">
        <v>121</v>
      </c>
      <c r="J129" s="11" t="s">
        <v>197</v>
      </c>
    </row>
    <row r="130" spans="1:10" ht="12.75" hidden="1" outlineLevel="1" x14ac:dyDescent="0.2">
      <c r="A130" s="62">
        <v>122</v>
      </c>
      <c r="B130" s="58"/>
      <c r="C130" s="58"/>
      <c r="D130" s="59"/>
      <c r="E130" s="64"/>
      <c r="F130" s="64"/>
      <c r="G130" s="61"/>
      <c r="H130" s="19"/>
      <c r="I130" s="9">
        <v>122</v>
      </c>
      <c r="J130" s="11" t="s">
        <v>197</v>
      </c>
    </row>
    <row r="131" spans="1:10" ht="12.75" hidden="1" outlineLevel="1" x14ac:dyDescent="0.2">
      <c r="A131" s="57">
        <v>123</v>
      </c>
      <c r="B131" s="63"/>
      <c r="C131" s="63"/>
      <c r="D131" s="64"/>
      <c r="E131" s="64"/>
      <c r="F131" s="64"/>
      <c r="G131" s="65"/>
      <c r="H131" s="19"/>
      <c r="I131" s="9">
        <v>123</v>
      </c>
      <c r="J131" s="11" t="s">
        <v>197</v>
      </c>
    </row>
    <row r="132" spans="1:10" ht="12.75" hidden="1" outlineLevel="1" x14ac:dyDescent="0.2">
      <c r="A132" s="62">
        <v>124</v>
      </c>
      <c r="B132" s="63"/>
      <c r="C132" s="63"/>
      <c r="D132" s="64"/>
      <c r="E132" s="64"/>
      <c r="F132" s="64"/>
      <c r="G132" s="65"/>
      <c r="H132" s="19"/>
      <c r="I132" s="9">
        <v>124</v>
      </c>
      <c r="J132" s="11" t="s">
        <v>197</v>
      </c>
    </row>
    <row r="133" spans="1:10" ht="12.75" hidden="1" outlineLevel="1" x14ac:dyDescent="0.2">
      <c r="A133" s="62">
        <v>125</v>
      </c>
      <c r="B133" s="58"/>
      <c r="C133" s="58"/>
      <c r="D133" s="59"/>
      <c r="E133" s="64"/>
      <c r="F133" s="64"/>
      <c r="G133" s="61"/>
      <c r="H133" s="19"/>
      <c r="I133" s="9">
        <v>125</v>
      </c>
      <c r="J133" s="11" t="s">
        <v>197</v>
      </c>
    </row>
    <row r="134" spans="1:10" ht="12.75" hidden="1" outlineLevel="1" x14ac:dyDescent="0.2">
      <c r="A134" s="62">
        <v>126</v>
      </c>
      <c r="B134" s="63"/>
      <c r="C134" s="63"/>
      <c r="D134" s="64"/>
      <c r="E134" s="64"/>
      <c r="F134" s="64"/>
      <c r="G134" s="65"/>
      <c r="H134" s="19"/>
      <c r="I134" s="9">
        <v>126</v>
      </c>
      <c r="J134" s="11" t="s">
        <v>197</v>
      </c>
    </row>
    <row r="135" spans="1:10" ht="12.75" hidden="1" outlineLevel="1" x14ac:dyDescent="0.2">
      <c r="A135" s="57">
        <v>127</v>
      </c>
      <c r="B135" s="63"/>
      <c r="C135" s="63"/>
      <c r="D135" s="64"/>
      <c r="E135" s="64"/>
      <c r="F135" s="64"/>
      <c r="G135" s="65"/>
      <c r="H135" s="19"/>
      <c r="I135" s="9">
        <v>127</v>
      </c>
      <c r="J135" s="11" t="s">
        <v>197</v>
      </c>
    </row>
    <row r="136" spans="1:10" ht="12.75" hidden="1" outlineLevel="1" x14ac:dyDescent="0.2">
      <c r="A136" s="62">
        <v>128</v>
      </c>
      <c r="B136" s="58"/>
      <c r="C136" s="58"/>
      <c r="D136" s="59"/>
      <c r="E136" s="64"/>
      <c r="F136" s="64"/>
      <c r="G136" s="61"/>
      <c r="H136" s="19"/>
      <c r="I136" s="9">
        <v>128</v>
      </c>
      <c r="J136" s="11" t="s">
        <v>197</v>
      </c>
    </row>
    <row r="137" spans="1:10" ht="12.75" hidden="1" outlineLevel="1" x14ac:dyDescent="0.2">
      <c r="A137" s="62">
        <v>129</v>
      </c>
      <c r="B137" s="58"/>
      <c r="C137" s="58"/>
      <c r="D137" s="59"/>
      <c r="E137" s="64"/>
      <c r="F137" s="64"/>
      <c r="G137" s="61"/>
      <c r="H137" s="19"/>
      <c r="I137" s="9"/>
      <c r="J137" s="11" t="s">
        <v>197</v>
      </c>
    </row>
    <row r="138" spans="1:10" ht="12.75" hidden="1" outlineLevel="1" x14ac:dyDescent="0.2">
      <c r="A138" s="62">
        <v>130</v>
      </c>
      <c r="B138" s="58"/>
      <c r="C138" s="58"/>
      <c r="D138" s="59"/>
      <c r="E138" s="64"/>
      <c r="F138" s="64"/>
      <c r="G138" s="61"/>
      <c r="H138" s="19"/>
      <c r="I138" s="9"/>
      <c r="J138" s="11" t="s">
        <v>197</v>
      </c>
    </row>
    <row r="139" spans="1:10" ht="12.75" hidden="1" outlineLevel="1" x14ac:dyDescent="0.2">
      <c r="A139" s="57">
        <v>131</v>
      </c>
      <c r="B139" s="58"/>
      <c r="C139" s="58"/>
      <c r="D139" s="59"/>
      <c r="E139" s="64"/>
      <c r="F139" s="64"/>
      <c r="G139" s="61"/>
      <c r="H139" s="19"/>
      <c r="I139" s="9"/>
      <c r="J139" s="11" t="s">
        <v>197</v>
      </c>
    </row>
    <row r="140" spans="1:10" ht="12.75" hidden="1" outlineLevel="1" x14ac:dyDescent="0.2">
      <c r="A140" s="62">
        <v>132</v>
      </c>
      <c r="B140" s="58"/>
      <c r="C140" s="58"/>
      <c r="D140" s="59"/>
      <c r="E140" s="64"/>
      <c r="F140" s="64"/>
      <c r="G140" s="61"/>
      <c r="H140" s="19"/>
      <c r="I140" s="9"/>
      <c r="J140" s="11" t="s">
        <v>197</v>
      </c>
    </row>
    <row r="141" spans="1:10" ht="12.75" hidden="1" outlineLevel="1" x14ac:dyDescent="0.2">
      <c r="A141" s="62">
        <v>133</v>
      </c>
      <c r="B141" s="63"/>
      <c r="C141" s="63"/>
      <c r="D141" s="64"/>
      <c r="E141" s="64"/>
      <c r="F141" s="64"/>
      <c r="G141" s="65"/>
      <c r="H141" s="19"/>
      <c r="I141" s="9"/>
      <c r="J141" s="11" t="s">
        <v>197</v>
      </c>
    </row>
    <row r="142" spans="1:10" ht="12.75" hidden="1" outlineLevel="1" x14ac:dyDescent="0.2">
      <c r="A142" s="62">
        <v>134</v>
      </c>
      <c r="B142" s="63"/>
      <c r="C142" s="63"/>
      <c r="D142" s="64"/>
      <c r="E142" s="64"/>
      <c r="F142" s="64"/>
      <c r="G142" s="65"/>
      <c r="H142" s="19"/>
      <c r="I142" s="9"/>
      <c r="J142" s="11" t="s">
        <v>197</v>
      </c>
    </row>
    <row r="143" spans="1:10" ht="12.75" collapsed="1" x14ac:dyDescent="0.2">
      <c r="A143" s="38"/>
      <c r="B143" s="67" t="s">
        <v>77</v>
      </c>
      <c r="C143" s="36"/>
      <c r="D143" s="38"/>
      <c r="E143" s="38"/>
      <c r="F143" s="38"/>
      <c r="G143" s="36"/>
      <c r="H143" s="18"/>
      <c r="I143" s="9"/>
    </row>
    <row r="144" spans="1:10" ht="12.75" x14ac:dyDescent="0.2">
      <c r="A144" s="38"/>
      <c r="B144" s="67"/>
      <c r="C144" s="36"/>
      <c r="D144" s="38"/>
      <c r="E144" s="38"/>
      <c r="F144" s="38"/>
      <c r="G144" s="36"/>
      <c r="I144" s="9"/>
    </row>
    <row r="145" spans="1:9" ht="15.75" x14ac:dyDescent="0.2">
      <c r="A145" s="38"/>
      <c r="B145" s="68">
        <f>Rens!E13</f>
        <v>0</v>
      </c>
      <c r="C145" s="36"/>
      <c r="D145" s="38"/>
      <c r="E145" s="38"/>
      <c r="F145" s="38"/>
      <c r="G145" s="36"/>
      <c r="I145" s="9"/>
    </row>
    <row r="146" spans="1:9" hidden="1" x14ac:dyDescent="0.2"/>
  </sheetData>
  <mergeCells count="4">
    <mergeCell ref="A4:G4"/>
    <mergeCell ref="A5:G5"/>
    <mergeCell ref="A6:G6"/>
    <mergeCell ref="A7:G7"/>
  </mergeCells>
  <phoneticPr fontId="0" type="noConversion"/>
  <conditionalFormatting sqref="A1:G8 A24:G145 A9:A23 E9:E22">
    <cfRule type="cellIs" dxfId="12" priority="1" stopIfTrue="1" operator="equal">
      <formula>0</formula>
    </cfRule>
  </conditionalFormatting>
  <printOptions horizontalCentered="1"/>
  <pageMargins left="0.27559055118110237" right="0.27559055118110237" top="0.43307086614173229" bottom="0.47244094488188981" header="0.43307086614173229" footer="0.39370078740157483"/>
  <pageSetup paperSize="9" scale="90" orientation="portrait" horizontalDpi="4294967292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92D050"/>
    <pageSetUpPr fitToPage="1"/>
  </sheetPr>
  <dimension ref="A1:FM58"/>
  <sheetViews>
    <sheetView showGridLines="0" view="pageBreakPreview" zoomScale="60" zoomScaleNormal="60" workbookViewId="0">
      <selection activeCell="C9" sqref="C9:E9"/>
    </sheetView>
  </sheetViews>
  <sheetFormatPr baseColWidth="10" defaultColWidth="11.42578125" defaultRowHeight="18.75" x14ac:dyDescent="0.2"/>
  <cols>
    <col min="1" max="3" width="2.7109375" style="387" customWidth="1"/>
    <col min="4" max="4" width="4.7109375" style="387" customWidth="1"/>
    <col min="5" max="5" width="9.85546875" style="387" customWidth="1"/>
    <col min="6" max="6" width="6.7109375" style="387" customWidth="1"/>
    <col min="7" max="7" width="3.7109375" style="387" customWidth="1"/>
    <col min="8" max="11" width="7.7109375" style="387" customWidth="1"/>
    <col min="12" max="12" width="11.42578125" style="387"/>
    <col min="13" max="22" width="7.7109375" style="387" customWidth="1"/>
    <col min="23" max="23" width="1.7109375" style="387" customWidth="1"/>
    <col min="24" max="27" width="6.7109375" style="387" customWidth="1"/>
    <col min="28" max="28" width="11.42578125" style="387"/>
    <col min="29" max="31" width="11.42578125" style="212"/>
    <col min="32" max="47" width="5.7109375" style="212" customWidth="1"/>
    <col min="48" max="48" width="7.42578125" style="212" customWidth="1"/>
    <col min="49" max="59" width="5.7109375" style="212" customWidth="1"/>
    <col min="60" max="60" width="20.42578125" style="212" customWidth="1"/>
    <col min="61" max="61" width="5.7109375" style="212" customWidth="1"/>
    <col min="62" max="62" width="7.28515625" style="212" customWidth="1"/>
    <col min="63" max="65" width="5.7109375" style="212" customWidth="1"/>
    <col min="66" max="66" width="12.140625" style="212" customWidth="1"/>
    <col min="67" max="67" width="7.28515625" style="212" customWidth="1"/>
    <col min="68" max="165" width="5.7109375" style="212" customWidth="1"/>
    <col min="166" max="169" width="11.42578125" style="212"/>
    <col min="170" max="16384" width="11.42578125" style="387"/>
  </cols>
  <sheetData>
    <row r="1" spans="1:169" ht="21.95" customHeight="1" x14ac:dyDescent="0.2">
      <c r="A1" s="692" t="str">
        <f>liste!$A$4</f>
        <v>Circuit Décathlon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</row>
    <row r="2" spans="1:169" ht="21.95" customHeight="1" x14ac:dyDescent="0.2">
      <c r="A2" s="692"/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</row>
    <row r="3" spans="1:169" ht="21.95" customHeight="1" x14ac:dyDescent="0.2">
      <c r="A3" s="427"/>
      <c r="B3" s="388"/>
      <c r="G3" s="388"/>
      <c r="H3" s="389"/>
      <c r="I3" s="390"/>
      <c r="J3" s="390"/>
      <c r="K3" s="390"/>
      <c r="L3" s="391"/>
      <c r="M3" s="390"/>
      <c r="N3" s="390"/>
      <c r="O3" s="392"/>
      <c r="P3" s="392"/>
      <c r="Q3" s="392"/>
      <c r="R3" s="392"/>
      <c r="S3" s="392"/>
      <c r="U3" s="389"/>
      <c r="V3" s="389"/>
      <c r="AA3" s="427"/>
      <c r="AC3" s="213" t="s">
        <v>5</v>
      </c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</row>
    <row r="4" spans="1:169" ht="21.95" customHeight="1" x14ac:dyDescent="0.2">
      <c r="A4" s="394"/>
      <c r="B4" s="388"/>
      <c r="D4" s="388"/>
      <c r="E4" s="393" t="s">
        <v>6</v>
      </c>
      <c r="F4" s="680" t="str">
        <f>liste!$A$5</f>
        <v>Parigné l'évêque</v>
      </c>
      <c r="G4" s="680"/>
      <c r="H4" s="680"/>
      <c r="I4" s="680"/>
      <c r="J4" s="680"/>
      <c r="K4" s="390"/>
      <c r="L4" s="390"/>
      <c r="M4" s="390"/>
      <c r="N4" s="392"/>
      <c r="O4" s="392"/>
      <c r="P4" s="392"/>
      <c r="Q4" s="392"/>
      <c r="R4" s="392"/>
      <c r="S4" s="393" t="s">
        <v>7</v>
      </c>
      <c r="T4" s="691">
        <f>liste!$A$7</f>
        <v>43421</v>
      </c>
      <c r="U4" s="691"/>
      <c r="V4" s="691"/>
      <c r="W4" s="691"/>
      <c r="X4" s="691"/>
      <c r="Y4" s="691"/>
      <c r="Z4" s="395"/>
      <c r="AA4" s="390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</row>
    <row r="5" spans="1:169" ht="21.95" customHeight="1" x14ac:dyDescent="0.2">
      <c r="A5" s="394"/>
      <c r="B5" s="388"/>
      <c r="C5" s="388"/>
      <c r="D5" s="388"/>
      <c r="E5" s="388"/>
      <c r="F5" s="388"/>
      <c r="G5" s="390"/>
      <c r="H5" s="390"/>
      <c r="I5" s="390"/>
      <c r="J5" s="390"/>
      <c r="K5" s="390"/>
      <c r="L5" s="390"/>
      <c r="M5" s="390"/>
      <c r="N5" s="392"/>
      <c r="O5" s="392"/>
      <c r="P5" s="392"/>
      <c r="Q5" s="392"/>
      <c r="R5" s="392"/>
      <c r="S5" s="392"/>
      <c r="T5" s="392"/>
      <c r="U5" s="392"/>
      <c r="V5" s="390"/>
      <c r="Z5" s="390"/>
      <c r="AA5" s="390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</row>
    <row r="6" spans="1:169" ht="21.95" customHeight="1" x14ac:dyDescent="0.2">
      <c r="A6" s="427"/>
      <c r="B6" s="388"/>
      <c r="C6" s="388"/>
      <c r="D6" s="388"/>
      <c r="E6" s="393" t="s">
        <v>11</v>
      </c>
      <c r="F6" s="676" t="str">
        <f>liste!$A$6</f>
        <v>FEM</v>
      </c>
      <c r="G6" s="676"/>
      <c r="H6" s="676"/>
      <c r="I6" s="676"/>
      <c r="J6" s="676"/>
      <c r="K6" s="676"/>
      <c r="L6" s="396" t="s">
        <v>2</v>
      </c>
      <c r="M6" s="558" t="s">
        <v>33</v>
      </c>
      <c r="O6" s="397" t="s">
        <v>188</v>
      </c>
      <c r="P6" s="388"/>
      <c r="Q6" s="558">
        <f>Rens!C7</f>
        <v>0</v>
      </c>
      <c r="R6" s="388"/>
      <c r="S6" s="388"/>
      <c r="T6" s="392"/>
      <c r="U6" s="397"/>
      <c r="V6" s="398" t="s">
        <v>140</v>
      </c>
      <c r="X6" s="559"/>
      <c r="Y6" s="693" t="str">
        <f>liste!$G$1</f>
        <v>2018-2019</v>
      </c>
      <c r="Z6" s="693"/>
      <c r="AA6" s="430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</row>
    <row r="7" spans="1:169" ht="21.95" customHeight="1" thickBot="1" x14ac:dyDescent="0.25">
      <c r="A7" s="394"/>
      <c r="B7" s="388"/>
      <c r="C7" s="388"/>
      <c r="D7" s="388"/>
      <c r="E7" s="388"/>
      <c r="F7" s="388"/>
      <c r="G7" s="388"/>
      <c r="H7" s="390"/>
      <c r="I7" s="390"/>
      <c r="J7" s="390"/>
      <c r="K7" s="390"/>
      <c r="L7" s="390"/>
      <c r="M7" s="390"/>
      <c r="N7" s="390"/>
      <c r="O7" s="392"/>
      <c r="P7" s="392"/>
      <c r="Q7" s="392"/>
      <c r="R7" s="392"/>
      <c r="S7" s="392"/>
      <c r="T7" s="392"/>
      <c r="U7" s="392"/>
      <c r="V7" s="392"/>
      <c r="W7" s="392"/>
      <c r="X7" s="390"/>
      <c r="Y7" s="390"/>
      <c r="Z7" s="390"/>
      <c r="AA7" s="390"/>
      <c r="AC7" s="213"/>
      <c r="AD7" s="213"/>
      <c r="AE7" s="214" t="s">
        <v>58</v>
      </c>
      <c r="AF7" s="215"/>
      <c r="AG7" s="215"/>
      <c r="AH7" s="215"/>
      <c r="AI7" s="216" t="s">
        <v>22</v>
      </c>
      <c r="AJ7" s="214" t="s">
        <v>5</v>
      </c>
      <c r="AK7" s="215"/>
      <c r="AL7" s="214" t="s">
        <v>23</v>
      </c>
      <c r="AM7" s="215"/>
      <c r="AN7" s="215"/>
      <c r="AO7" s="215"/>
      <c r="AP7" s="215"/>
      <c r="AQ7" s="215" t="str">
        <f>IF(AI7&lt;&gt;" ",AI7," ")</f>
        <v>IG1</v>
      </c>
      <c r="AR7" s="215"/>
      <c r="AS7" s="217"/>
      <c r="AT7" s="218"/>
      <c r="AU7" s="218"/>
      <c r="AV7" s="218"/>
      <c r="AW7" s="218"/>
      <c r="AX7" s="218"/>
      <c r="AY7" s="218" t="s">
        <v>5</v>
      </c>
      <c r="AZ7" s="218"/>
      <c r="BA7" s="218" t="s">
        <v>24</v>
      </c>
      <c r="BB7" s="218"/>
      <c r="BC7" s="218"/>
      <c r="BD7" s="218"/>
      <c r="BE7" s="218"/>
      <c r="BF7" s="218"/>
      <c r="BG7" s="218"/>
      <c r="BH7" s="219" t="s">
        <v>10</v>
      </c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3"/>
      <c r="FK7" s="213"/>
      <c r="FL7" s="213"/>
      <c r="FM7" s="213"/>
    </row>
    <row r="8" spans="1:169" ht="24.95" customHeight="1" thickBot="1" x14ac:dyDescent="0.25">
      <c r="A8" s="430"/>
      <c r="B8" s="430"/>
      <c r="C8" s="681" t="s">
        <v>8</v>
      </c>
      <c r="D8" s="682"/>
      <c r="E8" s="683"/>
      <c r="F8" s="681" t="s">
        <v>16</v>
      </c>
      <c r="G8" s="682"/>
      <c r="H8" s="683"/>
      <c r="I8" s="681" t="s">
        <v>20</v>
      </c>
      <c r="J8" s="682"/>
      <c r="K8" s="682"/>
      <c r="L8" s="682"/>
      <c r="M8" s="682"/>
      <c r="N8" s="683"/>
      <c r="O8" s="681" t="s">
        <v>4</v>
      </c>
      <c r="P8" s="683"/>
      <c r="Q8" s="681" t="s">
        <v>12</v>
      </c>
      <c r="R8" s="682"/>
      <c r="S8" s="682"/>
      <c r="T8" s="682"/>
      <c r="U8" s="682"/>
      <c r="V8" s="682"/>
      <c r="W8" s="682"/>
      <c r="X8" s="682"/>
      <c r="Y8" s="683"/>
      <c r="Z8" s="681" t="s">
        <v>194</v>
      </c>
      <c r="AA8" s="683"/>
      <c r="AC8" s="213"/>
      <c r="AD8" s="213"/>
      <c r="AE8" s="214" t="s">
        <v>5</v>
      </c>
      <c r="AF8" s="214"/>
      <c r="AG8" s="216" t="s">
        <v>14</v>
      </c>
      <c r="AH8" s="214"/>
      <c r="AI8" s="214"/>
      <c r="AJ8" s="214"/>
      <c r="AK8" s="214"/>
      <c r="AL8" s="214" t="s">
        <v>5</v>
      </c>
      <c r="AM8" s="214"/>
      <c r="AN8" s="215"/>
      <c r="AO8" s="215"/>
      <c r="AP8" s="215"/>
      <c r="AQ8" s="215"/>
      <c r="AR8" s="215"/>
      <c r="AS8" s="217"/>
      <c r="AT8" s="218"/>
      <c r="AU8" s="218"/>
      <c r="AV8" s="218"/>
      <c r="AW8" s="218"/>
      <c r="AX8" s="218"/>
      <c r="AY8" s="218" t="s">
        <v>10</v>
      </c>
      <c r="AZ8" s="218"/>
      <c r="BA8" s="218" t="s">
        <v>25</v>
      </c>
      <c r="BB8" s="219" t="s">
        <v>26</v>
      </c>
      <c r="BC8" s="219" t="s">
        <v>27</v>
      </c>
      <c r="BD8" s="219" t="s">
        <v>28</v>
      </c>
      <c r="BE8" s="219" t="s">
        <v>29</v>
      </c>
      <c r="BF8" s="218" t="s">
        <v>30</v>
      </c>
      <c r="BG8" s="218"/>
      <c r="BH8" s="219" t="s">
        <v>31</v>
      </c>
      <c r="BI8" s="218"/>
      <c r="BJ8" s="218"/>
      <c r="BK8" s="218" t="s">
        <v>32</v>
      </c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3"/>
      <c r="FK8" s="213"/>
      <c r="FL8" s="213"/>
      <c r="FM8" s="213"/>
    </row>
    <row r="9" spans="1:169" ht="27.95" customHeight="1" x14ac:dyDescent="0.2">
      <c r="A9" s="687">
        <v>1</v>
      </c>
      <c r="B9" s="688"/>
      <c r="C9" s="742">
        <v>1</v>
      </c>
      <c r="D9" s="743"/>
      <c r="E9" s="744"/>
      <c r="F9" s="661">
        <f>IF(C9="","",VLOOKUP(C9,liste!$A$9:$G$145,7,FALSE))</f>
        <v>7221216</v>
      </c>
      <c r="G9" s="662" t="e">
        <f>IF(F9="","",VLOOKUP(F9,liste!$A$9:$G$145,7,FALSE))</f>
        <v>#N/A</v>
      </c>
      <c r="H9" s="663" t="e">
        <f>IF(G9="","",VLOOKUP(G9,liste!$A$9:$G$145,7,FALSE))</f>
        <v>#N/A</v>
      </c>
      <c r="I9" s="684" t="str">
        <f>IF(C9="","",VLOOKUP(C9,liste!$A$9:$G$145,2,FALSE))</f>
        <v>GAUTIER Clemence</v>
      </c>
      <c r="J9" s="685"/>
      <c r="K9" s="685"/>
      <c r="L9" s="685"/>
      <c r="M9" s="685"/>
      <c r="N9" s="686"/>
      <c r="O9" s="694">
        <f>IF(C9="","",VLOOKUP(C9,liste!$A$9:$G$145,4,FALSE))</f>
        <v>5</v>
      </c>
      <c r="P9" s="695" t="str">
        <f>IF(J9="","",VLOOKUP(J9,liste!$A$9:$G$145,4,FALSE))</f>
        <v/>
      </c>
      <c r="Q9" s="689" t="str">
        <f>IF(C9="","",VLOOKUP(C9,liste!$A$9:$G$145,3,FALSE))</f>
        <v>LE GRAND LUCE USTT</v>
      </c>
      <c r="R9" s="696"/>
      <c r="S9" s="696"/>
      <c r="T9" s="696"/>
      <c r="U9" s="696"/>
      <c r="V9" s="696"/>
      <c r="W9" s="696"/>
      <c r="X9" s="696"/>
      <c r="Y9" s="690"/>
      <c r="Z9" s="689">
        <f>IF(C9="","",VLOOKUP(C9,liste!$A$9:$G$145,6,FALSE))</f>
        <v>500</v>
      </c>
      <c r="AA9" s="690" t="str">
        <f>IF(U9="","",VLOOKUP(U9,liste!$A$9:$G$145,4,FALSE))</f>
        <v/>
      </c>
      <c r="AB9" s="400" t="str">
        <f>"A"&amp;X23&amp;C9</f>
        <v>A1</v>
      </c>
      <c r="AC9" s="213"/>
      <c r="AD9" s="213"/>
      <c r="AE9" s="214" t="s">
        <v>33</v>
      </c>
      <c r="AF9" s="216">
        <v>1</v>
      </c>
      <c r="AG9" s="220">
        <f>C9</f>
        <v>1</v>
      </c>
      <c r="AH9" s="214" t="s">
        <v>5</v>
      </c>
      <c r="AI9" s="214" t="s">
        <v>5</v>
      </c>
      <c r="AJ9" s="214"/>
      <c r="AK9" s="214"/>
      <c r="AL9" s="214" t="s">
        <v>34</v>
      </c>
      <c r="AM9" s="214" t="e">
        <f>IF($BK$9=1,$AF$9,IF($BK$10=1,$AF$10,IF($BK$11=1,$AF$11,IF($BK$12=1,$AF$12,""))))</f>
        <v>#VALUE!</v>
      </c>
      <c r="AN9" s="215"/>
      <c r="AO9" s="221" t="e">
        <f>VLOOKUP(AM9,AF9:AG12,2)</f>
        <v>#VALUE!</v>
      </c>
      <c r="AP9" s="215"/>
      <c r="AQ9" s="215"/>
      <c r="AR9" s="215"/>
      <c r="AS9" s="217" t="s">
        <v>5</v>
      </c>
      <c r="AT9" s="218"/>
      <c r="AU9" s="218"/>
      <c r="AV9" s="222" t="e">
        <f>BH9</f>
        <v>#VALUE!</v>
      </c>
      <c r="AW9" s="218"/>
      <c r="AX9" s="218" t="s">
        <v>33</v>
      </c>
      <c r="AY9" s="218" t="e">
        <f>CF18</f>
        <v>#VALUE!</v>
      </c>
      <c r="AZ9" s="218"/>
      <c r="BA9" s="219" t="e">
        <f>IF(DE18&gt;0,CX18/DE18,IF(CX18&gt;0,CX18/1,0))</f>
        <v>#VALUE!</v>
      </c>
      <c r="BB9" s="219" t="e">
        <f>IF(DS18&gt;0,IF(BA9=0,0,DL18/DS18),IF(DL18&gt;0,DL18/1,0))</f>
        <v>#VALUE!</v>
      </c>
      <c r="BC9" s="218" t="e">
        <f>IF(BA9&lt;&gt;0,IF(EG18&gt;0,DZ18/EG18,0),0)</f>
        <v>#VALUE!</v>
      </c>
      <c r="BD9" s="218" t="s">
        <v>5</v>
      </c>
      <c r="BE9" s="219" t="e">
        <f>IF(EU18&gt;0,IF(BC9=0,0,EN18/EU18),IF(EN18&gt;0,EN18/1,0))</f>
        <v>#VALUE!</v>
      </c>
      <c r="BF9" s="219" t="e">
        <f>IF(BE9&lt;&gt;0,IF(FI18&gt;0,FB18/FI18,0),0)</f>
        <v>#VALUE!</v>
      </c>
      <c r="BG9" s="219" t="s">
        <v>33</v>
      </c>
      <c r="BH9" s="223" t="e">
        <f>AY9+BA9*0.01+BB9*0.0001+BC9*0.000001+BE9*0.00000001+BF9*0.0000000001</f>
        <v>#VALUE!</v>
      </c>
      <c r="BI9" s="218"/>
      <c r="BJ9" s="218"/>
      <c r="BK9" s="219" t="e">
        <f>RANK(BH9,BH9:BH15,)</f>
        <v>#VALUE!</v>
      </c>
      <c r="BL9" s="219"/>
      <c r="BM9" s="219"/>
      <c r="BN9" s="219"/>
      <c r="BO9" s="219" t="e">
        <f>IF(BH9=MIN(BH9:BH14),4,IF(BH9=MAX(BH9:BH14),1,0))</f>
        <v>#VALUE!</v>
      </c>
      <c r="BP9" s="219" t="e">
        <f>IF(BO9=0,BH9,0)</f>
        <v>#VALUE!</v>
      </c>
      <c r="BQ9" s="219" t="e">
        <f>IF(BP9&lt;&gt;0,IF(BP9=MAX(BP9:BP14),2,IF(BP9=MIN(BP9:BP14),3,0)),0)</f>
        <v>#VALUE!</v>
      </c>
      <c r="BR9" s="219" t="e">
        <f>IF(AND(BO9=0,BQ9=0),3,0)</f>
        <v>#VALUE!</v>
      </c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3"/>
      <c r="FK9" s="213"/>
      <c r="FL9" s="213"/>
      <c r="FM9" s="213"/>
    </row>
    <row r="10" spans="1:169" ht="27.95" customHeight="1" x14ac:dyDescent="0.2">
      <c r="A10" s="722">
        <v>2</v>
      </c>
      <c r="B10" s="723"/>
      <c r="C10" s="719">
        <f>liste!A16</f>
        <v>8</v>
      </c>
      <c r="D10" s="720"/>
      <c r="E10" s="721"/>
      <c r="F10" s="664">
        <f>IF(C10="","",VLOOKUP(C10,liste!$A$9:$G$145,7,FALSE))</f>
        <v>7223265</v>
      </c>
      <c r="G10" s="665" t="e">
        <f>IF(F10="","",VLOOKUP(F10,liste!$A$9:$G$145,7,FALSE))</f>
        <v>#N/A</v>
      </c>
      <c r="H10" s="666" t="e">
        <f>IF(G10="","",VLOOKUP(G10,liste!$A$9:$G$145,7,FALSE))</f>
        <v>#N/A</v>
      </c>
      <c r="I10" s="677" t="str">
        <f>IF(C10="","",VLOOKUP(C10,liste!$A$9:$G$145,2,FALSE))</f>
        <v>NEMETH Aryana</v>
      </c>
      <c r="J10" s="678"/>
      <c r="K10" s="678"/>
      <c r="L10" s="678"/>
      <c r="M10" s="678"/>
      <c r="N10" s="679"/>
      <c r="O10" s="711">
        <f>IF(C10="","",VLOOKUP(C10,liste!$A$9:$G$145,4,FALSE))</f>
        <v>5</v>
      </c>
      <c r="P10" s="712" t="str">
        <f>IF(J10="","",VLOOKUP(J10,liste!$A$9:$G$145,4,FALSE))</f>
        <v/>
      </c>
      <c r="Q10" s="708" t="str">
        <f>IF(C10="","",VLOOKUP(C10,liste!$A$9:$G$145,3,FALSE))</f>
        <v>LA FLECHE USF TT</v>
      </c>
      <c r="R10" s="709"/>
      <c r="S10" s="709"/>
      <c r="T10" s="709"/>
      <c r="U10" s="709"/>
      <c r="V10" s="709"/>
      <c r="W10" s="709"/>
      <c r="X10" s="709"/>
      <c r="Y10" s="710"/>
      <c r="Z10" s="708">
        <f>IF(C10="","",VLOOKUP(C10,liste!$A$9:$G$145,6,FALSE))</f>
        <v>500</v>
      </c>
      <c r="AA10" s="710" t="str">
        <f>IF(U10="","",VLOOKUP(U10,liste!$A$9:$G$145,4,FALSE))</f>
        <v/>
      </c>
      <c r="AB10" s="400" t="str">
        <f>"A"&amp;Y23&amp;C10</f>
        <v>A8</v>
      </c>
      <c r="AC10" s="213"/>
      <c r="AD10" s="213"/>
      <c r="AE10" s="214" t="s">
        <v>35</v>
      </c>
      <c r="AF10" s="216">
        <v>2</v>
      </c>
      <c r="AG10" s="220">
        <f>C10</f>
        <v>8</v>
      </c>
      <c r="AH10" s="214" t="s">
        <v>5</v>
      </c>
      <c r="AI10" s="214" t="s">
        <v>5</v>
      </c>
      <c r="AJ10" s="214"/>
      <c r="AK10" s="214"/>
      <c r="AL10" s="214" t="s">
        <v>59</v>
      </c>
      <c r="AM10" s="214" t="e">
        <f>IF($BK$9=2,$AF$9,IF($BK$10=2,$AF$10,IF($BK$11=2,$AF$11,IF($BK$12=2,$AF$12,""))))</f>
        <v>#VALUE!</v>
      </c>
      <c r="AN10" s="215"/>
      <c r="AO10" s="221" t="e">
        <f>VLOOKUP(AM10,AF9:AG12,2)</f>
        <v>#VALUE!</v>
      </c>
      <c r="AP10" s="215"/>
      <c r="AQ10" s="215"/>
      <c r="AR10" s="215"/>
      <c r="AS10" s="217" t="s">
        <v>5</v>
      </c>
      <c r="AT10" s="218"/>
      <c r="AU10" s="218"/>
      <c r="AV10" s="222" t="e">
        <f>BH10</f>
        <v>#VALUE!</v>
      </c>
      <c r="AW10" s="218"/>
      <c r="AX10" s="218" t="s">
        <v>35</v>
      </c>
      <c r="AY10" s="218" t="e">
        <f>CF19</f>
        <v>#VALUE!</v>
      </c>
      <c r="AZ10" s="218"/>
      <c r="BA10" s="219" t="e">
        <f>IF(DE19&gt;0,CX19/DE19,IF(CX19&gt;0,CX19/1,0))</f>
        <v>#VALUE!</v>
      </c>
      <c r="BB10" s="219" t="e">
        <f>IF(DS19&gt;0,IF(BA10=0,0,DL19/DS19),IF(DL19&gt;0,DL19/1,0))</f>
        <v>#VALUE!</v>
      </c>
      <c r="BC10" s="218" t="e">
        <f>IF(BA10&lt;&gt;0,IF(EG19&gt;0,DZ19/EG19,0),0)</f>
        <v>#VALUE!</v>
      </c>
      <c r="BD10" s="218" t="s">
        <v>5</v>
      </c>
      <c r="BE10" s="219" t="e">
        <f>IF(EU19&gt;0,IF(BC10=0,0,EN19/EU19),IF(EN19&gt;0,EN19/1,0))</f>
        <v>#VALUE!</v>
      </c>
      <c r="BF10" s="219" t="e">
        <f>IF(BE10&lt;&gt;0,IF(FI19&gt;0,FB19/FI19,0),0)</f>
        <v>#VALUE!</v>
      </c>
      <c r="BG10" s="219" t="s">
        <v>35</v>
      </c>
      <c r="BH10" s="223" t="e">
        <f>AY10+BA10*0.01+BB10*0.0001+BC10*0.000001+BE10*0.00000001+BF10*0.0000000001</f>
        <v>#VALUE!</v>
      </c>
      <c r="BI10" s="218"/>
      <c r="BJ10" s="218"/>
      <c r="BK10" s="219" t="e">
        <f>RANK(BH10,BH9:BH15,)</f>
        <v>#VALUE!</v>
      </c>
      <c r="BL10" s="219"/>
      <c r="BM10" s="219"/>
      <c r="BN10" s="219"/>
      <c r="BO10" s="219" t="e">
        <f>IF(BH10=MIN(BH9:BH14),4,IF(BH10=MAX(BH9:BH14),1,0))</f>
        <v>#VALUE!</v>
      </c>
      <c r="BP10" s="219" t="e">
        <f>IF(BO10=0,BH10,0)</f>
        <v>#VALUE!</v>
      </c>
      <c r="BQ10" s="219" t="e">
        <f>IF(BP10&lt;&gt;0,IF(BP10=MAX(BP9:BP14),2,IF(BP10=MIN(BP9:BP14),3,0)),0)</f>
        <v>#VALUE!</v>
      </c>
      <c r="BR10" s="219" t="e">
        <f>IF(AND(BO10=0,BQ10=0),3,0)</f>
        <v>#VALUE!</v>
      </c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3"/>
      <c r="FK10" s="213"/>
      <c r="FL10" s="213"/>
      <c r="FM10" s="213"/>
    </row>
    <row r="11" spans="1:169" ht="27.95" customHeight="1" x14ac:dyDescent="0.2">
      <c r="A11" s="722">
        <v>3</v>
      </c>
      <c r="B11" s="723"/>
      <c r="C11" s="719">
        <f>liste!A17</f>
        <v>9</v>
      </c>
      <c r="D11" s="720"/>
      <c r="E11" s="721"/>
      <c r="F11" s="664">
        <f>IF(C11="","",VLOOKUP(C11,liste!$A$9:$G$145,7,FALSE))</f>
        <v>7220268</v>
      </c>
      <c r="G11" s="665" t="e">
        <f>IF(F11="","",VLOOKUP(F11,liste!$A$9:$G$145,7,FALSE))</f>
        <v>#N/A</v>
      </c>
      <c r="H11" s="666" t="e">
        <f>IF(G11="","",VLOOKUP(G11,liste!$A$9:$G$145,7,FALSE))</f>
        <v>#N/A</v>
      </c>
      <c r="I11" s="677" t="str">
        <f>IF(C11="","",VLOOKUP(C11,liste!$A$9:$G$145,2,FALSE))</f>
        <v>MONIER Perrine</v>
      </c>
      <c r="J11" s="678"/>
      <c r="K11" s="678"/>
      <c r="L11" s="678"/>
      <c r="M11" s="678"/>
      <c r="N11" s="679"/>
      <c r="O11" s="711">
        <f>IF(C11="","",VLOOKUP(C11,liste!$A$9:$G$145,4,FALSE))</f>
        <v>5</v>
      </c>
      <c r="P11" s="712" t="str">
        <f>IF(J11="","",VLOOKUP(J11,liste!$A$9:$G$145,4,FALSE))</f>
        <v/>
      </c>
      <c r="Q11" s="708" t="str">
        <f>IF(C11="","",VLOOKUP(C11,liste!$A$9:$G$145,3,FALSE))</f>
        <v>PARIGNE L'EVEQUE TTC</v>
      </c>
      <c r="R11" s="709"/>
      <c r="S11" s="709"/>
      <c r="T11" s="709"/>
      <c r="U11" s="709"/>
      <c r="V11" s="709"/>
      <c r="W11" s="709"/>
      <c r="X11" s="709"/>
      <c r="Y11" s="710"/>
      <c r="Z11" s="708">
        <f>IF(C11="","",VLOOKUP(C11,liste!$A$9:$G$145,6,FALSE))</f>
        <v>500</v>
      </c>
      <c r="AA11" s="710" t="str">
        <f>IF(U11="","",VLOOKUP(U11,liste!$A$9:$G$145,4,FALSE))</f>
        <v/>
      </c>
      <c r="AB11" s="400" t="str">
        <f>"A"&amp;Z23&amp;C11</f>
        <v>A9</v>
      </c>
      <c r="AC11" s="213"/>
      <c r="AD11" s="213"/>
      <c r="AE11" s="214" t="s">
        <v>36</v>
      </c>
      <c r="AF11" s="216">
        <v>3</v>
      </c>
      <c r="AG11" s="220">
        <f>C11</f>
        <v>9</v>
      </c>
      <c r="AH11" s="214" t="s">
        <v>5</v>
      </c>
      <c r="AI11" s="214" t="s">
        <v>5</v>
      </c>
      <c r="AJ11" s="214"/>
      <c r="AK11" s="214"/>
      <c r="AL11" s="214" t="s">
        <v>60</v>
      </c>
      <c r="AM11" s="214" t="e">
        <f>IF($BK$9=3,$AF$9,IF($BK$10=3,$AF$10,IF($BK$11=3,$AF$11,IF($BK$12=3,$AF$12,""))))</f>
        <v>#VALUE!</v>
      </c>
      <c r="AN11" s="215"/>
      <c r="AO11" s="221" t="e">
        <f>VLOOKUP(AM11,AF9:AG12,2)</f>
        <v>#VALUE!</v>
      </c>
      <c r="AP11" s="215"/>
      <c r="AQ11" s="215"/>
      <c r="AR11" s="215"/>
      <c r="AS11" s="217" t="s">
        <v>5</v>
      </c>
      <c r="AT11" s="218"/>
      <c r="AU11" s="218"/>
      <c r="AV11" s="222" t="e">
        <f>BH11</f>
        <v>#VALUE!</v>
      </c>
      <c r="AW11" s="218"/>
      <c r="AX11" s="218" t="s">
        <v>36</v>
      </c>
      <c r="AY11" s="218" t="e">
        <f>CF20</f>
        <v>#VALUE!</v>
      </c>
      <c r="AZ11" s="218"/>
      <c r="BA11" s="219" t="e">
        <f>IF(DE20&gt;0,CX20/DE20,IF(CX20&gt;0,CX20/1,0))</f>
        <v>#VALUE!</v>
      </c>
      <c r="BB11" s="219" t="e">
        <f>IF(DS20&gt;0,IF(BA11=0,0,DL20/DS20),IF(DL20&gt;0,DL20/1,0))</f>
        <v>#VALUE!</v>
      </c>
      <c r="BC11" s="218" t="e">
        <f>IF(BA11&lt;&gt;0,IF(EG20&gt;0,DZ20/EG20,0),0)</f>
        <v>#VALUE!</v>
      </c>
      <c r="BD11" s="218" t="s">
        <v>5</v>
      </c>
      <c r="BE11" s="219" t="e">
        <f>IF(EU20&gt;0,IF(BC11=0,0,EN20/EU20),IF(EN20&gt;0,EN20/1,0))</f>
        <v>#VALUE!</v>
      </c>
      <c r="BF11" s="219" t="e">
        <f>IF(BE11&lt;&gt;0,IF(FI20&gt;0,FB20/FI20,0),0)</f>
        <v>#VALUE!</v>
      </c>
      <c r="BG11" s="219" t="s">
        <v>36</v>
      </c>
      <c r="BH11" s="223" t="e">
        <f>AY11+BA11*0.01+BB11*0.0001+BC11*0.000001+BE11*0.00000001+BF11*0.0000000001</f>
        <v>#VALUE!</v>
      </c>
      <c r="BI11" s="218"/>
      <c r="BJ11" s="218"/>
      <c r="BK11" s="219" t="e">
        <f>RANK(BH11,BH9:BH15,)</f>
        <v>#VALUE!</v>
      </c>
      <c r="BL11" s="219"/>
      <c r="BM11" s="219"/>
      <c r="BN11" s="219"/>
      <c r="BO11" s="219" t="e">
        <f>IF(BH11=MIN(BH9:BH14),4,IF(BH11=MAX(BH9:BH14),1,0))</f>
        <v>#VALUE!</v>
      </c>
      <c r="BP11" s="219" t="e">
        <f>IF(BO11=0,BH11,0)</f>
        <v>#VALUE!</v>
      </c>
      <c r="BQ11" s="219" t="e">
        <f>IF(BP11&lt;&gt;0,IF(BP11=MAX(BP9:BP14),2,IF(BP11=MIN(BP9:BP14),3,0)),0)</f>
        <v>#VALUE!</v>
      </c>
      <c r="BR11" s="219" t="e">
        <f>IF(AND(BO11=0,BQ11=0),3,0)</f>
        <v>#VALUE!</v>
      </c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3"/>
      <c r="FK11" s="213"/>
      <c r="FL11" s="213"/>
      <c r="FM11" s="213"/>
    </row>
    <row r="12" spans="1:169" ht="27.95" customHeight="1" thickBot="1" x14ac:dyDescent="0.25">
      <c r="A12" s="724">
        <v>4</v>
      </c>
      <c r="B12" s="725"/>
      <c r="C12" s="736">
        <f>liste!A24</f>
        <v>16</v>
      </c>
      <c r="D12" s="737"/>
      <c r="E12" s="738"/>
      <c r="F12" s="658">
        <f>IF(C12="","",VLOOKUP(C12,liste!$A$9:$G$145,7,FALSE))</f>
        <v>0</v>
      </c>
      <c r="G12" s="659" t="e">
        <f>IF(F12="","",VLOOKUP(F12,liste!$A$9:$G$145,7,FALSE))</f>
        <v>#N/A</v>
      </c>
      <c r="H12" s="660" t="e">
        <f>IF(G12="","",VLOOKUP(G12,liste!$A$9:$G$145,7,FALSE))</f>
        <v>#N/A</v>
      </c>
      <c r="I12" s="703">
        <f>IF(C12="","",VLOOKUP(C12,liste!$A$9:$G$145,2,FALSE))</f>
        <v>0</v>
      </c>
      <c r="J12" s="704"/>
      <c r="K12" s="704"/>
      <c r="L12" s="704"/>
      <c r="M12" s="704"/>
      <c r="N12" s="705"/>
      <c r="O12" s="697">
        <f>IF(C12="","",VLOOKUP(C12,liste!$A$9:$G$145,4,FALSE))</f>
        <v>0</v>
      </c>
      <c r="P12" s="698" t="str">
        <f>IF(J12="","",VLOOKUP(J12,liste!$A$9:$G$145,4,FALSE))</f>
        <v/>
      </c>
      <c r="Q12" s="713">
        <f>IF(C12="","",VLOOKUP(C12,liste!$A$9:$G$145,3,FALSE))</f>
        <v>0</v>
      </c>
      <c r="R12" s="714"/>
      <c r="S12" s="714"/>
      <c r="T12" s="714"/>
      <c r="U12" s="714"/>
      <c r="V12" s="714"/>
      <c r="W12" s="714"/>
      <c r="X12" s="714"/>
      <c r="Y12" s="715"/>
      <c r="Z12" s="713">
        <f>IF(C12="","",VLOOKUP(C12,liste!$A$9:$G$145,6,FALSE))</f>
        <v>0</v>
      </c>
      <c r="AA12" s="715" t="str">
        <f>IF(U12="","",VLOOKUP(U12,liste!$A$9:$G$145,4,FALSE))</f>
        <v/>
      </c>
      <c r="AB12" s="400" t="str">
        <f>"A"&amp;AA23&amp;C12</f>
        <v>A16</v>
      </c>
      <c r="AC12" s="213"/>
      <c r="AD12" s="213"/>
      <c r="AE12" s="214" t="s">
        <v>61</v>
      </c>
      <c r="AF12" s="216">
        <v>4</v>
      </c>
      <c r="AG12" s="220">
        <f>C12</f>
        <v>16</v>
      </c>
      <c r="AH12" s="214" t="s">
        <v>5</v>
      </c>
      <c r="AI12" s="214" t="s">
        <v>5</v>
      </c>
      <c r="AJ12" s="214"/>
      <c r="AK12" s="214"/>
      <c r="AL12" s="214" t="s">
        <v>62</v>
      </c>
      <c r="AM12" s="214" t="e">
        <f>IF($BK$9=4,$AF$9,IF($BK$10=4,$AF$10,IF($BK$11=4,$AF$11,IF($BK$12=4,$AF$12,""))))</f>
        <v>#VALUE!</v>
      </c>
      <c r="AN12" s="215"/>
      <c r="AO12" s="221" t="e">
        <f>VLOOKUP(AM12,AF9:AG12,2)</f>
        <v>#VALUE!</v>
      </c>
      <c r="AP12" s="215"/>
      <c r="AQ12" s="215"/>
      <c r="AR12" s="215"/>
      <c r="AS12" s="217" t="s">
        <v>5</v>
      </c>
      <c r="AT12" s="224"/>
      <c r="AU12" s="218"/>
      <c r="AV12" s="222" t="e">
        <f>BH12</f>
        <v>#VALUE!</v>
      </c>
      <c r="AW12" s="218"/>
      <c r="AX12" s="218" t="s">
        <v>61</v>
      </c>
      <c r="AY12" s="218" t="e">
        <f>CF21</f>
        <v>#VALUE!</v>
      </c>
      <c r="AZ12" s="218"/>
      <c r="BA12" s="219" t="e">
        <f>IF(DE21&gt;0,CX21/DE21,IF(CX21&gt;0,CX21/1,0))</f>
        <v>#VALUE!</v>
      </c>
      <c r="BB12" s="219" t="e">
        <f>IF(DS21&gt;0,IF(BA12=0,0,DL21/DS21),IF(DL21&gt;0,DL21/1,0))</f>
        <v>#VALUE!</v>
      </c>
      <c r="BC12" s="218" t="e">
        <f>IF(BA12&lt;&gt;0,IF(EG21&gt;0,DZ21/EG21,0),0)</f>
        <v>#VALUE!</v>
      </c>
      <c r="BD12" s="218" t="s">
        <v>5</v>
      </c>
      <c r="BE12" s="219" t="e">
        <f>IF(EU21&gt;0,IF(BC12=0,0,EN21/EU21),IF(EN21&gt;0,EN21/1,0))</f>
        <v>#VALUE!</v>
      </c>
      <c r="BF12" s="218" t="e">
        <f>IF(BE12&lt;&gt;0,IF(FI21&gt;0,FB21/FI21,0),0)</f>
        <v>#VALUE!</v>
      </c>
      <c r="BG12" s="219" t="s">
        <v>61</v>
      </c>
      <c r="BH12" s="223" t="e">
        <f>AY12+BA12*0.01+BB12*0.0001+BC12*0.000001+BE12*0.00000001+BF12*0.0000000001</f>
        <v>#VALUE!</v>
      </c>
      <c r="BI12" s="218"/>
      <c r="BJ12" s="218"/>
      <c r="BK12" s="219" t="e">
        <f>RANK(BH12,BH9:BH15,)</f>
        <v>#VALUE!</v>
      </c>
      <c r="BL12" s="219"/>
      <c r="BM12" s="219"/>
      <c r="BN12" s="219"/>
      <c r="BO12" s="219" t="e">
        <f>IF(BH12=MIN(BH9:BH14),4,IF(BH12=MAX(BH9:BH14),1,0))</f>
        <v>#VALUE!</v>
      </c>
      <c r="BP12" s="219" t="e">
        <f>IF(BO12=0,BH12,0)</f>
        <v>#VALUE!</v>
      </c>
      <c r="BQ12" s="219" t="e">
        <f>IF(BP12&lt;&gt;0,IF(BP12=MAX(BP9:BP14),2,IF(BP12=MIN(BP9:BP14),3,0)),0)</f>
        <v>#VALUE!</v>
      </c>
      <c r="BR12" s="219" t="e">
        <f>IF(AND(BO12=0,BQ12=0),3,0)</f>
        <v>#VALUE!</v>
      </c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3"/>
      <c r="FK12" s="213"/>
      <c r="FL12" s="213"/>
      <c r="FM12" s="213"/>
    </row>
    <row r="13" spans="1:169" ht="21.95" customHeight="1" thickBot="1" x14ac:dyDescent="0.25">
      <c r="A13" s="394"/>
      <c r="B13" s="394"/>
      <c r="C13" s="394"/>
      <c r="D13" s="394"/>
      <c r="E13" s="394"/>
      <c r="F13" s="394"/>
      <c r="G13" s="394"/>
      <c r="H13" s="390"/>
      <c r="I13" s="390"/>
      <c r="J13" s="390"/>
      <c r="K13" s="390"/>
      <c r="L13" s="390"/>
      <c r="M13" s="390"/>
      <c r="N13" s="390"/>
      <c r="O13" s="392"/>
      <c r="P13" s="392"/>
      <c r="Q13" s="392"/>
      <c r="R13" s="392"/>
      <c r="S13" s="392"/>
      <c r="T13" s="392"/>
      <c r="U13" s="392"/>
      <c r="V13" s="392"/>
      <c r="W13" s="392"/>
      <c r="X13" s="401"/>
      <c r="Y13" s="401"/>
      <c r="Z13" s="401"/>
      <c r="AA13" s="401"/>
      <c r="AB13" s="390"/>
      <c r="AC13" s="213"/>
      <c r="AD13" s="213"/>
      <c r="AE13" s="215"/>
      <c r="AF13" s="221"/>
      <c r="AG13" s="215"/>
      <c r="AH13" s="215"/>
      <c r="AI13" s="215"/>
      <c r="AJ13" s="215"/>
      <c r="AK13" s="215"/>
      <c r="AL13" s="215"/>
      <c r="AM13" s="215"/>
      <c r="AN13" s="215"/>
      <c r="AO13" s="221"/>
      <c r="AP13" s="215"/>
      <c r="AQ13" s="215"/>
      <c r="AR13" s="215"/>
      <c r="AS13" s="218"/>
      <c r="AT13" s="218"/>
      <c r="AU13" s="218"/>
      <c r="AV13" s="218"/>
      <c r="AW13" s="218"/>
      <c r="AX13" s="218"/>
      <c r="AY13" s="218"/>
      <c r="AZ13" s="218"/>
      <c r="BA13" s="219"/>
      <c r="BB13" s="219"/>
      <c r="BC13" s="218"/>
      <c r="BD13" s="218"/>
      <c r="BE13" s="219"/>
      <c r="BF13" s="218"/>
      <c r="BG13" s="219"/>
      <c r="BH13" s="223"/>
      <c r="BI13" s="218"/>
      <c r="BJ13" s="218"/>
      <c r="BK13" s="219"/>
      <c r="BL13" s="219"/>
      <c r="BM13" s="219"/>
      <c r="BN13" s="219"/>
      <c r="BO13" s="219"/>
      <c r="BP13" s="219"/>
      <c r="BQ13" s="219"/>
      <c r="BR13" s="219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3"/>
      <c r="FK13" s="213"/>
      <c r="FL13" s="213"/>
      <c r="FM13" s="213"/>
    </row>
    <row r="14" spans="1:169" ht="21.95" customHeight="1" thickBot="1" x14ac:dyDescent="0.25">
      <c r="A14" s="394"/>
      <c r="B14" s="394"/>
      <c r="C14" s="394"/>
      <c r="D14" s="394"/>
      <c r="E14" s="394"/>
      <c r="F14" s="394"/>
      <c r="G14" s="394"/>
      <c r="H14" s="390"/>
      <c r="I14" s="390"/>
      <c r="J14" s="390"/>
      <c r="K14" s="390"/>
      <c r="L14" s="390"/>
      <c r="M14" s="390"/>
      <c r="N14" s="390"/>
      <c r="O14" s="392"/>
      <c r="P14" s="392"/>
      <c r="Q14" s="392"/>
      <c r="R14" s="749" t="s">
        <v>19</v>
      </c>
      <c r="S14" s="750"/>
      <c r="T14" s="750"/>
      <c r="U14" s="750"/>
      <c r="V14" s="750"/>
      <c r="W14" s="402"/>
      <c r="X14" s="681" t="s">
        <v>10</v>
      </c>
      <c r="Y14" s="682"/>
      <c r="Z14" s="682"/>
      <c r="AA14" s="683"/>
      <c r="AC14" s="213"/>
      <c r="AD14" s="213"/>
      <c r="AE14" s="225"/>
      <c r="AF14" s="226"/>
      <c r="AG14" s="225"/>
      <c r="AH14" s="225"/>
      <c r="AI14" s="225"/>
      <c r="AJ14" s="225"/>
      <c r="AK14" s="225"/>
      <c r="AL14" s="225"/>
      <c r="AM14" s="225"/>
      <c r="AN14" s="225"/>
      <c r="AO14" s="226"/>
      <c r="AP14" s="225"/>
      <c r="AQ14" s="225"/>
      <c r="AR14" s="225"/>
      <c r="AS14" s="218"/>
      <c r="AT14" s="218"/>
      <c r="AU14" s="218"/>
      <c r="AV14" s="218"/>
      <c r="AW14" s="218"/>
      <c r="AX14" s="218"/>
      <c r="AY14" s="218"/>
      <c r="AZ14" s="218"/>
      <c r="BA14" s="219"/>
      <c r="BB14" s="219"/>
      <c r="BC14" s="218"/>
      <c r="BD14" s="218"/>
      <c r="BE14" s="218"/>
      <c r="BF14" s="218"/>
      <c r="BG14" s="219"/>
      <c r="BH14" s="223"/>
      <c r="BI14" s="218"/>
      <c r="BJ14" s="218"/>
      <c r="BK14" s="219"/>
      <c r="BL14" s="219"/>
      <c r="BM14" s="219"/>
      <c r="BN14" s="219"/>
      <c r="BO14" s="219"/>
      <c r="BP14" s="219"/>
      <c r="BQ14" s="219"/>
      <c r="BR14" s="219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3"/>
      <c r="FK14" s="213"/>
      <c r="FL14" s="213"/>
      <c r="FM14" s="213"/>
    </row>
    <row r="15" spans="1:169" ht="21.95" customHeight="1" thickBot="1" x14ac:dyDescent="0.25">
      <c r="A15" s="403"/>
      <c r="B15" s="403"/>
      <c r="C15" s="403"/>
      <c r="D15" s="403"/>
      <c r="E15" s="404" t="s">
        <v>154</v>
      </c>
      <c r="F15" s="405" t="s">
        <v>142</v>
      </c>
      <c r="G15" s="403"/>
      <c r="H15" s="401"/>
      <c r="I15" s="401"/>
      <c r="J15" s="401"/>
      <c r="K15" s="401"/>
      <c r="L15" s="401"/>
      <c r="M15" s="401"/>
      <c r="N15" s="401"/>
      <c r="O15" s="406"/>
      <c r="P15" s="406"/>
      <c r="Q15" s="406"/>
      <c r="R15" s="407">
        <v>1</v>
      </c>
      <c r="S15" s="408">
        <v>2</v>
      </c>
      <c r="T15" s="408">
        <v>3</v>
      </c>
      <c r="U15" s="409">
        <v>4</v>
      </c>
      <c r="V15" s="410">
        <v>5</v>
      </c>
      <c r="W15" s="402"/>
      <c r="X15" s="411">
        <v>1</v>
      </c>
      <c r="Y15" s="412">
        <v>2</v>
      </c>
      <c r="Z15" s="412">
        <v>3</v>
      </c>
      <c r="AA15" s="536">
        <v>4</v>
      </c>
      <c r="AC15" s="213"/>
      <c r="AD15" s="213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9"/>
      <c r="BL15" s="219"/>
      <c r="BM15" s="219"/>
      <c r="BN15" s="219"/>
      <c r="BO15" s="219"/>
      <c r="BP15" s="219"/>
      <c r="BQ15" s="219"/>
      <c r="BR15" s="219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3"/>
      <c r="FK15" s="213"/>
      <c r="FL15" s="213"/>
      <c r="FM15" s="213"/>
    </row>
    <row r="16" spans="1:169" ht="27.95" customHeight="1" x14ac:dyDescent="0.2">
      <c r="A16" s="540">
        <v>1</v>
      </c>
      <c r="B16" s="413" t="s">
        <v>13</v>
      </c>
      <c r="C16" s="414">
        <v>4</v>
      </c>
      <c r="D16" s="415" t="str">
        <f>Rens!F4</f>
        <v>Sa</v>
      </c>
      <c r="E16" s="416">
        <f>Rens!B7</f>
        <v>0</v>
      </c>
      <c r="F16" s="417">
        <f>Rens!C7</f>
        <v>0</v>
      </c>
      <c r="G16" s="671" t="str">
        <f t="shared" ref="G16:G21" si="0" xml:space="preserve"> VLOOKUP(A16,$A$9:$O$12,9)</f>
        <v>GAUTIER Clemence</v>
      </c>
      <c r="H16" s="672"/>
      <c r="I16" s="672"/>
      <c r="J16" s="672"/>
      <c r="K16" s="672"/>
      <c r="L16" s="418" t="s">
        <v>9</v>
      </c>
      <c r="M16" s="672">
        <f t="shared" ref="M16:M21" si="1" xml:space="preserve"> VLOOKUP(C16,$A$9:$O$12,9)</f>
        <v>0</v>
      </c>
      <c r="N16" s="672"/>
      <c r="O16" s="672"/>
      <c r="P16" s="672"/>
      <c r="Q16" s="675"/>
      <c r="R16" s="206"/>
      <c r="S16" s="207"/>
      <c r="T16" s="207"/>
      <c r="U16" s="207"/>
      <c r="V16" s="549"/>
      <c r="W16" s="516"/>
      <c r="X16" s="520" t="str">
        <f>IF(AND(COUNTIF(($R16:$V16),"&gt;0")&gt;=2),1,IF(AND(COUNTIF(($R16:$V16),"&lt;0")&gt;=2),0,blanc))</f>
        <v xml:space="preserve"> </v>
      </c>
      <c r="Y16" s="419"/>
      <c r="Z16" s="419"/>
      <c r="AA16" s="521" t="str">
        <f>IF(AND(X16=0),1,IF(AND(X16=1),0,blanc))</f>
        <v xml:space="preserve"> </v>
      </c>
      <c r="AC16" s="213"/>
      <c r="AD16" s="213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>
        <f>BH16</f>
        <v>0</v>
      </c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 t="s">
        <v>41</v>
      </c>
      <c r="CT16" s="218"/>
      <c r="CU16" s="218"/>
      <c r="CV16" s="218"/>
      <c r="CW16" s="218"/>
      <c r="CX16" s="218"/>
      <c r="CY16" s="218"/>
      <c r="CZ16" s="218" t="s">
        <v>42</v>
      </c>
      <c r="DA16" s="218"/>
      <c r="DB16" s="218"/>
      <c r="DC16" s="218"/>
      <c r="DD16" s="218"/>
      <c r="DE16" s="213"/>
      <c r="DF16" s="218"/>
      <c r="DG16" s="218" t="s">
        <v>54</v>
      </c>
      <c r="DH16" s="218"/>
      <c r="DI16" s="218"/>
      <c r="DJ16" s="218"/>
      <c r="DK16" s="218"/>
      <c r="DL16" s="218"/>
      <c r="DM16" s="218"/>
      <c r="DN16" s="218" t="s">
        <v>55</v>
      </c>
      <c r="DO16" s="218"/>
      <c r="DP16" s="218"/>
      <c r="DQ16" s="218"/>
      <c r="DR16" s="218"/>
      <c r="DS16" s="218"/>
      <c r="DT16" s="218"/>
      <c r="DU16" s="218" t="s">
        <v>43</v>
      </c>
      <c r="DV16" s="218"/>
      <c r="DW16" s="218"/>
      <c r="DX16" s="218"/>
      <c r="DY16" s="218"/>
      <c r="DZ16" s="218"/>
      <c r="EA16" s="218"/>
      <c r="EB16" s="218" t="s">
        <v>44</v>
      </c>
      <c r="EC16" s="218"/>
      <c r="ED16" s="218"/>
      <c r="EE16" s="218"/>
      <c r="EF16" s="218"/>
      <c r="EG16" s="218"/>
      <c r="EH16" s="218"/>
      <c r="EI16" s="218" t="s">
        <v>56</v>
      </c>
      <c r="EJ16" s="218"/>
      <c r="EK16" s="218"/>
      <c r="EL16" s="218"/>
      <c r="EM16" s="218"/>
      <c r="EN16" s="218"/>
      <c r="EO16" s="218"/>
      <c r="EP16" s="218" t="s">
        <v>57</v>
      </c>
      <c r="EQ16" s="218"/>
      <c r="ER16" s="218"/>
      <c r="ES16" s="218"/>
      <c r="ET16" s="218"/>
      <c r="EU16" s="218"/>
      <c r="EV16" s="218"/>
      <c r="EW16" s="218" t="s">
        <v>45</v>
      </c>
      <c r="EX16" s="218"/>
      <c r="EY16" s="218"/>
      <c r="EZ16" s="218"/>
      <c r="FA16" s="218"/>
      <c r="FB16" s="218"/>
      <c r="FC16" s="218"/>
      <c r="FD16" s="218" t="s">
        <v>46</v>
      </c>
      <c r="FE16" s="218"/>
      <c r="FF16" s="218"/>
      <c r="FG16" s="218"/>
      <c r="FH16" s="218"/>
      <c r="FI16" s="218"/>
      <c r="FJ16" s="213"/>
      <c r="FK16" s="213"/>
      <c r="FL16" s="213"/>
      <c r="FM16" s="213"/>
    </row>
    <row r="17" spans="1:169" ht="27.95" customHeight="1" thickBot="1" x14ac:dyDescent="0.25">
      <c r="A17" s="541">
        <v>2</v>
      </c>
      <c r="B17" s="420" t="s">
        <v>13</v>
      </c>
      <c r="C17" s="421">
        <v>3</v>
      </c>
      <c r="D17" s="422"/>
      <c r="E17" s="423">
        <f>E16+0.014</f>
        <v>1.4E-2</v>
      </c>
      <c r="F17" s="424">
        <f>F16</f>
        <v>0</v>
      </c>
      <c r="G17" s="673" t="str">
        <f t="shared" si="0"/>
        <v>NEMETH Aryana</v>
      </c>
      <c r="H17" s="667"/>
      <c r="I17" s="667"/>
      <c r="J17" s="667"/>
      <c r="K17" s="667"/>
      <c r="L17" s="425" t="s">
        <v>9</v>
      </c>
      <c r="M17" s="667" t="str">
        <f t="shared" si="1"/>
        <v>MONIER Perrine</v>
      </c>
      <c r="N17" s="667"/>
      <c r="O17" s="667"/>
      <c r="P17" s="667"/>
      <c r="Q17" s="668"/>
      <c r="R17" s="208"/>
      <c r="S17" s="209"/>
      <c r="T17" s="209"/>
      <c r="U17" s="210"/>
      <c r="V17" s="550"/>
      <c r="W17" s="516"/>
      <c r="X17" s="522"/>
      <c r="Y17" s="518" t="str">
        <f>IF(AND(COUNTIF(($R17:$V17),"&gt;0")&gt;=2),1,IF(AND(COUNTIF(($R17:$V17),"&lt;0")&gt;=2),0,blanc))</f>
        <v xml:space="preserve"> </v>
      </c>
      <c r="Z17" s="518" t="str">
        <f>IF(AND(Y17=0),1,IF(AND(Y17=1),0,blanc))</f>
        <v xml:space="preserve"> </v>
      </c>
      <c r="AA17" s="523"/>
      <c r="AC17" s="213"/>
      <c r="AD17" s="213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 t="s">
        <v>33</v>
      </c>
      <c r="BV17" s="218" t="s">
        <v>5</v>
      </c>
      <c r="BW17" s="218" t="s">
        <v>35</v>
      </c>
      <c r="BX17" s="218"/>
      <c r="BY17" s="218" t="s">
        <v>36</v>
      </c>
      <c r="BZ17" s="218"/>
      <c r="CA17" s="218" t="s">
        <v>61</v>
      </c>
      <c r="CB17" s="218"/>
      <c r="CC17" s="218"/>
      <c r="CD17" s="218"/>
      <c r="CE17" s="218"/>
      <c r="CF17" s="227" t="s">
        <v>52</v>
      </c>
      <c r="CG17" s="227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28" t="s">
        <v>33</v>
      </c>
      <c r="CT17" s="219" t="s">
        <v>35</v>
      </c>
      <c r="CU17" s="219" t="s">
        <v>36</v>
      </c>
      <c r="CV17" s="219" t="s">
        <v>61</v>
      </c>
      <c r="CW17" s="219"/>
      <c r="CX17" s="229"/>
      <c r="CY17" s="218"/>
      <c r="CZ17" s="228" t="s">
        <v>33</v>
      </c>
      <c r="DA17" s="219" t="s">
        <v>35</v>
      </c>
      <c r="DB17" s="219" t="s">
        <v>36</v>
      </c>
      <c r="DC17" s="219" t="s">
        <v>61</v>
      </c>
      <c r="DD17" s="219"/>
      <c r="DE17" s="213"/>
      <c r="DF17" s="218"/>
      <c r="DG17" s="228" t="s">
        <v>33</v>
      </c>
      <c r="DH17" s="219" t="s">
        <v>35</v>
      </c>
      <c r="DI17" s="219" t="s">
        <v>36</v>
      </c>
      <c r="DJ17" s="219" t="s">
        <v>61</v>
      </c>
      <c r="DK17" s="219"/>
      <c r="DL17" s="229"/>
      <c r="DM17" s="218"/>
      <c r="DN17" s="228" t="s">
        <v>33</v>
      </c>
      <c r="DO17" s="219" t="s">
        <v>35</v>
      </c>
      <c r="DP17" s="219" t="s">
        <v>36</v>
      </c>
      <c r="DQ17" s="219" t="s">
        <v>61</v>
      </c>
      <c r="DR17" s="219"/>
      <c r="DS17" s="226"/>
      <c r="DT17" s="213"/>
      <c r="DU17" s="228" t="s">
        <v>33</v>
      </c>
      <c r="DV17" s="219" t="s">
        <v>35</v>
      </c>
      <c r="DW17" s="219" t="s">
        <v>36</v>
      </c>
      <c r="DX17" s="219" t="s">
        <v>61</v>
      </c>
      <c r="DY17" s="219"/>
      <c r="DZ17" s="226"/>
      <c r="EA17" s="213"/>
      <c r="EB17" s="228" t="s">
        <v>33</v>
      </c>
      <c r="EC17" s="219" t="s">
        <v>35</v>
      </c>
      <c r="ED17" s="219" t="s">
        <v>36</v>
      </c>
      <c r="EE17" s="219" t="s">
        <v>61</v>
      </c>
      <c r="EF17" s="219"/>
      <c r="EG17" s="229"/>
      <c r="EH17" s="213"/>
      <c r="EI17" s="228" t="s">
        <v>33</v>
      </c>
      <c r="EJ17" s="219" t="s">
        <v>35</v>
      </c>
      <c r="EK17" s="219" t="s">
        <v>36</v>
      </c>
      <c r="EL17" s="219" t="s">
        <v>61</v>
      </c>
      <c r="EM17" s="219"/>
      <c r="EN17" s="229"/>
      <c r="EO17" s="213"/>
      <c r="EP17" s="228" t="s">
        <v>33</v>
      </c>
      <c r="EQ17" s="219" t="s">
        <v>35</v>
      </c>
      <c r="ER17" s="219" t="s">
        <v>36</v>
      </c>
      <c r="ES17" s="219" t="s">
        <v>61</v>
      </c>
      <c r="ET17" s="219"/>
      <c r="EU17" s="219"/>
      <c r="EV17" s="213"/>
      <c r="EW17" s="228" t="s">
        <v>33</v>
      </c>
      <c r="EX17" s="219" t="s">
        <v>35</v>
      </c>
      <c r="EY17" s="219" t="s">
        <v>36</v>
      </c>
      <c r="EZ17" s="219" t="s">
        <v>61</v>
      </c>
      <c r="FA17" s="219"/>
      <c r="FB17" s="219"/>
      <c r="FC17" s="213"/>
      <c r="FD17" s="228" t="s">
        <v>33</v>
      </c>
      <c r="FE17" s="219" t="s">
        <v>35</v>
      </c>
      <c r="FF17" s="219" t="s">
        <v>36</v>
      </c>
      <c r="FG17" s="219" t="s">
        <v>61</v>
      </c>
      <c r="FH17" s="219"/>
      <c r="FI17" s="229"/>
      <c r="FJ17" s="213"/>
      <c r="FK17" s="213"/>
      <c r="FL17" s="213"/>
      <c r="FM17" s="213"/>
    </row>
    <row r="18" spans="1:169" ht="27.95" customHeight="1" thickTop="1" x14ac:dyDescent="0.2">
      <c r="A18" s="541">
        <v>1</v>
      </c>
      <c r="B18" s="420" t="s">
        <v>13</v>
      </c>
      <c r="C18" s="421">
        <v>3</v>
      </c>
      <c r="D18" s="422" t="str">
        <f>D16</f>
        <v>Sa</v>
      </c>
      <c r="E18" s="423">
        <f>E17+0.014</f>
        <v>2.8000000000000001E-2</v>
      </c>
      <c r="F18" s="424">
        <f>F16</f>
        <v>0</v>
      </c>
      <c r="G18" s="673" t="str">
        <f t="shared" si="0"/>
        <v>GAUTIER Clemence</v>
      </c>
      <c r="H18" s="667"/>
      <c r="I18" s="667"/>
      <c r="J18" s="667"/>
      <c r="K18" s="667"/>
      <c r="L18" s="425" t="s">
        <v>9</v>
      </c>
      <c r="M18" s="667" t="str">
        <f t="shared" si="1"/>
        <v>MONIER Perrine</v>
      </c>
      <c r="N18" s="667"/>
      <c r="O18" s="667"/>
      <c r="P18" s="667"/>
      <c r="Q18" s="668"/>
      <c r="R18" s="211"/>
      <c r="S18" s="210"/>
      <c r="T18" s="210"/>
      <c r="U18" s="210"/>
      <c r="V18" s="550"/>
      <c r="W18" s="516"/>
      <c r="X18" s="524" t="str">
        <f>IF(AND(COUNTIF(($R18:$V18),"&gt;0")&gt;=2),1,IF(AND(COUNTIF(($R18:$V18),"&lt;0")&gt;=2),0,blanc))</f>
        <v xml:space="preserve"> </v>
      </c>
      <c r="Y18" s="426"/>
      <c r="Z18" s="518" t="str">
        <f>IF(AND(X18=0),1,IF(AND(X18=1),0,blanc))</f>
        <v xml:space="preserve"> </v>
      </c>
      <c r="AA18" s="523"/>
      <c r="AC18" s="230" t="s">
        <v>37</v>
      </c>
      <c r="AD18" s="231" t="str">
        <f>AI7</f>
        <v>IG1</v>
      </c>
      <c r="AE18" s="232"/>
      <c r="AF18" s="233" t="s">
        <v>63</v>
      </c>
      <c r="AG18" s="234"/>
      <c r="AH18" s="233" t="s">
        <v>64</v>
      </c>
      <c r="AI18" s="234"/>
      <c r="AJ18" s="233" t="s">
        <v>65</v>
      </c>
      <c r="AK18" s="234"/>
      <c r="AL18" s="233" t="s">
        <v>66</v>
      </c>
      <c r="AM18" s="235"/>
      <c r="AN18" s="233" t="s">
        <v>67</v>
      </c>
      <c r="AO18" s="236"/>
      <c r="AP18" s="237" t="s">
        <v>38</v>
      </c>
      <c r="AQ18" s="238"/>
      <c r="AR18" s="238"/>
      <c r="AS18" s="238"/>
      <c r="AT18" s="239"/>
      <c r="AU18" s="240"/>
      <c r="AV18" s="213"/>
      <c r="AW18" s="213"/>
      <c r="AX18" s="213"/>
      <c r="AY18" s="241" t="s">
        <v>38</v>
      </c>
      <c r="AZ18" s="232"/>
      <c r="BA18" s="232"/>
      <c r="BB18" s="232"/>
      <c r="BC18" s="242" t="s">
        <v>68</v>
      </c>
      <c r="BD18" s="232"/>
      <c r="BE18" s="232"/>
      <c r="BF18" s="232"/>
      <c r="BG18" s="232"/>
      <c r="BH18" s="232"/>
      <c r="BI18" s="232"/>
      <c r="BJ18" s="232"/>
      <c r="BK18" s="232"/>
      <c r="BL18" s="242" t="s">
        <v>39</v>
      </c>
      <c r="BM18" s="242" t="s">
        <v>40</v>
      </c>
      <c r="BN18" s="242"/>
      <c r="BO18" s="243"/>
      <c r="BQ18" s="200"/>
      <c r="BR18" s="225"/>
      <c r="BS18" s="214" t="str">
        <f>AE9</f>
        <v>A</v>
      </c>
      <c r="BT18" s="244"/>
      <c r="BU18" s="244"/>
      <c r="BV18" s="214" t="str">
        <f>BH24</f>
        <v>M</v>
      </c>
      <c r="BW18" s="214" t="e">
        <f>BL24</f>
        <v>#VALUE!</v>
      </c>
      <c r="BX18" s="214" t="str">
        <f>BH22</f>
        <v>M</v>
      </c>
      <c r="BY18" s="214" t="e">
        <f>BL22</f>
        <v>#VALUE!</v>
      </c>
      <c r="BZ18" s="214" t="str">
        <f>BH20</f>
        <v>M</v>
      </c>
      <c r="CA18" s="245" t="e">
        <f>BL20</f>
        <v>#VALUE!</v>
      </c>
      <c r="CB18" s="225"/>
      <c r="CC18" s="225"/>
      <c r="CD18" s="246"/>
      <c r="CE18" s="246"/>
      <c r="CF18" s="226" t="e">
        <f>SUM(CH18:CL18)</f>
        <v>#VALUE!</v>
      </c>
      <c r="CG18" s="219" t="e">
        <f>SUM(CM18:CQ18)</f>
        <v>#VALUE!</v>
      </c>
      <c r="CH18" s="214" t="e">
        <f>IF(BV18&gt;BW18,1,0)</f>
        <v>#VALUE!</v>
      </c>
      <c r="CI18" s="214" t="e">
        <f>IF(BX18&gt;BY18,1,0)</f>
        <v>#VALUE!</v>
      </c>
      <c r="CJ18" s="214" t="e">
        <f>IF(BZ18&gt;CA18,1,0)</f>
        <v>#VALUE!</v>
      </c>
      <c r="CK18" s="214">
        <f>IF(CB18&gt;CC18,1,0)</f>
        <v>0</v>
      </c>
      <c r="CL18" s="214">
        <f>IF(CD18&gt;CE18,1,0)</f>
        <v>0</v>
      </c>
      <c r="CM18" s="247" t="e">
        <f>IF(BV18&lt;BW18,1,0)</f>
        <v>#VALUE!</v>
      </c>
      <c r="CN18" s="214" t="e">
        <f>IF(BX18&lt;BY18,1,0)</f>
        <v>#VALUE!</v>
      </c>
      <c r="CO18" s="214" t="e">
        <f>IF(BZ18&lt;CA18,1,0)</f>
        <v>#VALUE!</v>
      </c>
      <c r="CP18" s="214">
        <f>IF(CB18&lt;CC18,1,0)</f>
        <v>0</v>
      </c>
      <c r="CQ18" s="214">
        <f>IF(CD18&lt;CE18,1,0)</f>
        <v>0</v>
      </c>
      <c r="CR18" s="214" t="s">
        <v>33</v>
      </c>
      <c r="CS18" s="248" t="s">
        <v>53</v>
      </c>
      <c r="CT18" s="216" t="e">
        <f>IF(CF18=CF19,AY24,"xxx")</f>
        <v>#VALUE!</v>
      </c>
      <c r="CU18" s="216" t="e">
        <f>IF(CF18=CF20,AY22,"xxx")</f>
        <v>#VALUE!</v>
      </c>
      <c r="CV18" s="216" t="e">
        <f>IF(CF18=CF21,AY20,"xxx")</f>
        <v>#VALUE!</v>
      </c>
      <c r="CW18" s="249"/>
      <c r="CX18" s="226" t="e">
        <f>SUM(CS18:CW18)</f>
        <v>#VALUE!</v>
      </c>
      <c r="CY18" s="214" t="s">
        <v>33</v>
      </c>
      <c r="CZ18" s="248" t="s">
        <v>53</v>
      </c>
      <c r="DA18" s="216" t="e">
        <f>IF(CF18=CF19,AZ24,"xxx")</f>
        <v>#VALUE!</v>
      </c>
      <c r="DB18" s="216" t="e">
        <f>IF(CF18=CF20,BA22,"xxx")</f>
        <v>#VALUE!</v>
      </c>
      <c r="DC18" s="216" t="e">
        <f>IF(CF18=CF21,BB20,"xxx")</f>
        <v>#VALUE!</v>
      </c>
      <c r="DD18" s="249"/>
      <c r="DE18" s="226" t="e">
        <f>SUM(CZ18:DD18)</f>
        <v>#VALUE!</v>
      </c>
      <c r="DF18" s="214" t="s">
        <v>33</v>
      </c>
      <c r="DG18" s="248" t="s">
        <v>53</v>
      </c>
      <c r="DH18" s="216" t="e">
        <f>IF(AND(BA9&lt;&gt;0,AY9=AY10),IF(BA9=BA10,AY24,"xxx"),"xxx")</f>
        <v>#VALUE!</v>
      </c>
      <c r="DI18" s="216" t="e">
        <f>IF(AND(BA9&lt;&gt;0,AY9=AY11),IF(BA9=BA11,AY22,"xxx"),"xxx")</f>
        <v>#VALUE!</v>
      </c>
      <c r="DJ18" s="216" t="e">
        <f>IF(AND(BA9&lt;&gt;0,AY9=AY12),IF(BA9=BA12,AY20,"xxx"),"xxx")</f>
        <v>#VALUE!</v>
      </c>
      <c r="DK18" s="249"/>
      <c r="DL18" s="226" t="e">
        <f>SUM(DG18:DK18)</f>
        <v>#VALUE!</v>
      </c>
      <c r="DM18" s="214" t="s">
        <v>33</v>
      </c>
      <c r="DN18" s="248" t="s">
        <v>53</v>
      </c>
      <c r="DO18" s="216" t="e">
        <f>IF(AND(BA9&lt;&gt;0,AY9=AY10),IF(BA9=BA10,AZ24,"xxx"),"xxx")</f>
        <v>#VALUE!</v>
      </c>
      <c r="DP18" s="216" t="e">
        <f>IF(AND(BA9&lt;&gt;0,AY9=AY11),IF(BA9=BA11,BA22,"xxx"),"xxx")</f>
        <v>#VALUE!</v>
      </c>
      <c r="DQ18" s="216" t="e">
        <f>IF(AND(BA9&lt;&gt;0,AY9=AY12),IF(BA9=BA12,BB20,"xxx"),"xxx")</f>
        <v>#VALUE!</v>
      </c>
      <c r="DR18" s="249"/>
      <c r="DS18" s="226" t="e">
        <f>SUM(DN18:DR18)</f>
        <v>#VALUE!</v>
      </c>
      <c r="DT18" s="214" t="s">
        <v>33</v>
      </c>
      <c r="DU18" s="248" t="s">
        <v>53</v>
      </c>
      <c r="DV18" s="216" t="e">
        <f>IF(AND(CF18=CF19,BA9=BA10),BH24,"kkk")</f>
        <v>#VALUE!</v>
      </c>
      <c r="DW18" s="216" t="e">
        <f>IF(AND(CF18=CF20,BA9=BA11),BH22,"kkk")</f>
        <v>#VALUE!</v>
      </c>
      <c r="DX18" s="216" t="e">
        <f>IF(AND(CF18=CF21,BA9=BA12),BH20,"kkk")</f>
        <v>#VALUE!</v>
      </c>
      <c r="DY18" s="249"/>
      <c r="DZ18" s="226" t="e">
        <f>SUM(DU18:DY18)</f>
        <v>#VALUE!</v>
      </c>
      <c r="EA18" s="214" t="s">
        <v>33</v>
      </c>
      <c r="EB18" s="248" t="s">
        <v>53</v>
      </c>
      <c r="EC18" s="216" t="e">
        <f>IF(AND(CF18=CF19,BA9=BA10),BL24,"kkk")</f>
        <v>#VALUE!</v>
      </c>
      <c r="ED18" s="216" t="e">
        <f>IF(AND(CF18=CF20,BA9=BA11),BL22,"kkk")</f>
        <v>#VALUE!</v>
      </c>
      <c r="EE18" s="216" t="e">
        <f>IF(AND(CF18=CF21,BA9=BA12),BL20,"kkk")</f>
        <v>#VALUE!</v>
      </c>
      <c r="EF18" s="249"/>
      <c r="EG18" s="226" t="e">
        <f>SUM(EB18:EF18)</f>
        <v>#VALUE!</v>
      </c>
      <c r="EH18" s="214" t="s">
        <v>33</v>
      </c>
      <c r="EI18" s="248" t="s">
        <v>53</v>
      </c>
      <c r="EJ18" s="216" t="e">
        <f>IF(BD9&lt;&gt;"ùùù",IF(AND(CF18=CF19,BD9=BD10),BH24,"kkk"),"kkk")</f>
        <v>#VALUE!</v>
      </c>
      <c r="EK18" s="216" t="e">
        <f>IF(BD9&lt;&gt;"ùùù",IF(AND(CF18=CF20,BD9=BD11),BH22,"kkk"),"kkk")</f>
        <v>#VALUE!</v>
      </c>
      <c r="EL18" s="216" t="e">
        <f>IF(BD9&lt;&gt;"ùùù",IF(AND(CF18=CF21,BD9=BD12),BH20,"kkk"),"kkk")</f>
        <v>#VALUE!</v>
      </c>
      <c r="EM18" s="249"/>
      <c r="EN18" s="226" t="e">
        <f>SUM(EI18:EM18)</f>
        <v>#VALUE!</v>
      </c>
      <c r="EO18" s="214" t="s">
        <v>33</v>
      </c>
      <c r="EP18" s="248" t="s">
        <v>53</v>
      </c>
      <c r="EQ18" s="216" t="e">
        <f>IF(BD9&lt;&gt;"ùùù",IF(AND(CF18=CF19,BD9=BD10),BL24,"kkk"),"kkk")</f>
        <v>#VALUE!</v>
      </c>
      <c r="ER18" s="216" t="e">
        <f>IF(BD9&lt;&gt;"ùùù",IF(AND(CF18=CF20,BD9=BD11),BL22,"kkk"),"kkk")</f>
        <v>#VALUE!</v>
      </c>
      <c r="ES18" s="216" t="e">
        <f>IF(BD9&lt;&gt;"ùùù",IF(AND(CF18=CF21,BD9=BD12),BL20,"kkk"),"kkk")</f>
        <v>#VALUE!</v>
      </c>
      <c r="ET18" s="249"/>
      <c r="EU18" s="226" t="e">
        <f>SUM(EP18:ET18)</f>
        <v>#VALUE!</v>
      </c>
      <c r="EV18" s="214" t="s">
        <v>33</v>
      </c>
      <c r="EW18" s="248" t="s">
        <v>53</v>
      </c>
      <c r="EX18" s="216" t="e">
        <f>IF(AND(CF18=CF19,BC9=BC10),+AF24+AH24+AJ24+AL24+AN24,"xxx")</f>
        <v>#VALUE!</v>
      </c>
      <c r="EY18" s="216" t="e">
        <f>IF(AND(CF18=CF20,BC9=BC11),+AF22+AH22+AJ22+AL22+AN22,"xxx")</f>
        <v>#VALUE!</v>
      </c>
      <c r="EZ18" s="216" t="e">
        <f>IF(AND(CF18=CF21,BC9=BC12),+AF20+AH20+AJ20+AL20+AN20,"xxx")</f>
        <v>#VALUE!</v>
      </c>
      <c r="FA18" s="249"/>
      <c r="FB18" s="226" t="e">
        <f>SUM(EW18:FA18)</f>
        <v>#VALUE!</v>
      </c>
      <c r="FC18" s="214" t="s">
        <v>33</v>
      </c>
      <c r="FD18" s="248" t="s">
        <v>53</v>
      </c>
      <c r="FE18" s="216" t="e">
        <f>IF(AND(CF18=CF19,BC9=BC10),+AG24+AI24+AK24+AM24+AO24,"xxx")</f>
        <v>#VALUE!</v>
      </c>
      <c r="FF18" s="216" t="e">
        <f>IF(AND(CF18=CF20,BC9=BC11),+AG22+AI22+AK22+AM22+AO22,"xxx")</f>
        <v>#VALUE!</v>
      </c>
      <c r="FG18" s="216" t="e">
        <f>IF(AND(CF18=CF21,BC9=BC12),+AG20+AI20+AK20+AM20+AO20,"xxx")</f>
        <v>#VALUE!</v>
      </c>
      <c r="FH18" s="249"/>
      <c r="FI18" s="226" t="e">
        <f>SUM(FD18:FH18)</f>
        <v>#VALUE!</v>
      </c>
      <c r="FJ18" s="213"/>
      <c r="FK18" s="213"/>
      <c r="FL18" s="213"/>
      <c r="FM18" s="213"/>
    </row>
    <row r="19" spans="1:169" ht="27.95" customHeight="1" x14ac:dyDescent="0.2">
      <c r="A19" s="541">
        <v>2</v>
      </c>
      <c r="B19" s="420" t="s">
        <v>13</v>
      </c>
      <c r="C19" s="421">
        <v>4</v>
      </c>
      <c r="D19" s="422"/>
      <c r="E19" s="423">
        <f>E18+0.014</f>
        <v>4.2000000000000003E-2</v>
      </c>
      <c r="F19" s="424">
        <f>F16</f>
        <v>0</v>
      </c>
      <c r="G19" s="673" t="str">
        <f t="shared" si="0"/>
        <v>NEMETH Aryana</v>
      </c>
      <c r="H19" s="667"/>
      <c r="I19" s="667"/>
      <c r="J19" s="667"/>
      <c r="K19" s="667"/>
      <c r="L19" s="425" t="s">
        <v>9</v>
      </c>
      <c r="M19" s="667">
        <f t="shared" si="1"/>
        <v>0</v>
      </c>
      <c r="N19" s="667"/>
      <c r="O19" s="667"/>
      <c r="P19" s="667"/>
      <c r="Q19" s="668"/>
      <c r="R19" s="211"/>
      <c r="S19" s="210"/>
      <c r="T19" s="210"/>
      <c r="U19" s="210"/>
      <c r="V19" s="550"/>
      <c r="W19" s="516"/>
      <c r="X19" s="522"/>
      <c r="Y19" s="518" t="str">
        <f>IF(AND(COUNTIF(($R19:$V19),"&gt;0")&gt;=2),1,IF(AND(COUNTIF(($R19:$V19),"&lt;0")&gt;=2),0,blanc))</f>
        <v xml:space="preserve"> </v>
      </c>
      <c r="Z19" s="426"/>
      <c r="AA19" s="525" t="str">
        <f>IF(AND(Y19=0),1,IF(AND(Y19=1),0,blanc))</f>
        <v xml:space="preserve"> </v>
      </c>
      <c r="AC19" s="747" t="s">
        <v>47</v>
      </c>
      <c r="AD19" s="748"/>
      <c r="AE19" s="250" t="s">
        <v>48</v>
      </c>
      <c r="AF19" s="251" t="s">
        <v>49</v>
      </c>
      <c r="AG19" s="252" t="s">
        <v>50</v>
      </c>
      <c r="AH19" s="252" t="s">
        <v>49</v>
      </c>
      <c r="AI19" s="252" t="s">
        <v>50</v>
      </c>
      <c r="AJ19" s="252" t="s">
        <v>49</v>
      </c>
      <c r="AK19" s="252" t="s">
        <v>50</v>
      </c>
      <c r="AL19" s="252" t="s">
        <v>49</v>
      </c>
      <c r="AM19" s="252" t="s">
        <v>50</v>
      </c>
      <c r="AN19" s="252" t="s">
        <v>49</v>
      </c>
      <c r="AO19" s="253" t="s">
        <v>50</v>
      </c>
      <c r="AP19" s="254" t="s">
        <v>33</v>
      </c>
      <c r="AQ19" s="216" t="s">
        <v>35</v>
      </c>
      <c r="AR19" s="216" t="s">
        <v>36</v>
      </c>
      <c r="AS19" s="216" t="s">
        <v>61</v>
      </c>
      <c r="AT19" s="255"/>
      <c r="AU19" s="229"/>
      <c r="AV19" s="224"/>
      <c r="AW19" s="224"/>
      <c r="AX19" s="224"/>
      <c r="AY19" s="256" t="s">
        <v>33</v>
      </c>
      <c r="AZ19" s="216" t="s">
        <v>35</v>
      </c>
      <c r="BA19" s="216" t="s">
        <v>36</v>
      </c>
      <c r="BB19" s="216" t="s">
        <v>61</v>
      </c>
      <c r="BC19" s="216">
        <v>1</v>
      </c>
      <c r="BD19" s="216">
        <v>2</v>
      </c>
      <c r="BE19" s="216">
        <v>3</v>
      </c>
      <c r="BF19" s="216">
        <v>4</v>
      </c>
      <c r="BG19" s="216">
        <v>5</v>
      </c>
      <c r="BH19" s="216" t="s">
        <v>40</v>
      </c>
      <c r="BI19" s="216" t="s">
        <v>51</v>
      </c>
      <c r="BJ19" s="216"/>
      <c r="BK19" s="216"/>
      <c r="BL19" s="216" t="s">
        <v>69</v>
      </c>
      <c r="BM19" s="216" t="s">
        <v>40</v>
      </c>
      <c r="BN19" s="216"/>
      <c r="BO19" s="257"/>
      <c r="BQ19" s="200"/>
      <c r="BR19" s="225"/>
      <c r="BS19" s="214" t="str">
        <f t="shared" ref="BS19:BS26" si="2">AE10</f>
        <v>B</v>
      </c>
      <c r="BT19" s="214" t="e">
        <f>BW18</f>
        <v>#VALUE!</v>
      </c>
      <c r="BU19" s="214" t="str">
        <f>BV18</f>
        <v>M</v>
      </c>
      <c r="BV19" s="244"/>
      <c r="BW19" s="244"/>
      <c r="BX19" s="214" t="str">
        <f>BH21</f>
        <v>M</v>
      </c>
      <c r="BY19" s="214" t="e">
        <f>BL21</f>
        <v>#VALUE!</v>
      </c>
      <c r="BZ19" s="214" t="str">
        <f>BH23</f>
        <v>M</v>
      </c>
      <c r="CA19" s="245" t="e">
        <f>BL23</f>
        <v>#VALUE!</v>
      </c>
      <c r="CB19" s="225"/>
      <c r="CC19" s="225"/>
      <c r="CD19" s="246"/>
      <c r="CE19" s="246"/>
      <c r="CF19" s="226" t="e">
        <f t="shared" ref="CF19:CF24" si="3">SUM(CH19:CL19)</f>
        <v>#VALUE!</v>
      </c>
      <c r="CG19" s="219" t="e">
        <f t="shared" ref="CG19:CG24" si="4">SUM(CM19:CQ19)</f>
        <v>#VALUE!</v>
      </c>
      <c r="CH19" s="214" t="e">
        <f>IF(BT19&gt;BU19,1,0)</f>
        <v>#VALUE!</v>
      </c>
      <c r="CI19" s="214" t="e">
        <f>IF(BX19&gt;BY19,1,0)</f>
        <v>#VALUE!</v>
      </c>
      <c r="CJ19" s="214" t="e">
        <f>IF(BZ19&gt;CA19,1,0)</f>
        <v>#VALUE!</v>
      </c>
      <c r="CK19" s="214">
        <f>IF(CB19&gt;CC19,1,0)</f>
        <v>0</v>
      </c>
      <c r="CL19" s="214">
        <f>IF(CD19&gt;CE19,1,0)</f>
        <v>0</v>
      </c>
      <c r="CM19" s="247" t="e">
        <f>IF(BT19&lt;BU19,1,0)</f>
        <v>#VALUE!</v>
      </c>
      <c r="CN19" s="214" t="e">
        <f>IF(BX19&lt;BY19,1,0)</f>
        <v>#VALUE!</v>
      </c>
      <c r="CO19" s="214" t="e">
        <f>IF(BZ19&lt;CA19,1,0)</f>
        <v>#VALUE!</v>
      </c>
      <c r="CP19" s="214">
        <f>IF(CB19&lt;CC19,1,0)</f>
        <v>0</v>
      </c>
      <c r="CQ19" s="214">
        <f>IF(CD19&lt;CE19,1,0)</f>
        <v>0</v>
      </c>
      <c r="CR19" s="214" t="s">
        <v>35</v>
      </c>
      <c r="CS19" s="216" t="e">
        <f>IF(CF19=CF18,AZ24,"xxx")</f>
        <v>#VALUE!</v>
      </c>
      <c r="CT19" s="248" t="s">
        <v>53</v>
      </c>
      <c r="CU19" s="216" t="e">
        <f>IF(CF19=CF20,AZ21,"xxx")</f>
        <v>#VALUE!</v>
      </c>
      <c r="CV19" s="216" t="e">
        <f>IF(CF19=CF21,AZ23,"xxx")</f>
        <v>#VALUE!</v>
      </c>
      <c r="CW19" s="249"/>
      <c r="CX19" s="226" t="e">
        <f>SUM(CS19:CW19)</f>
        <v>#VALUE!</v>
      </c>
      <c r="CY19" s="214" t="s">
        <v>35</v>
      </c>
      <c r="CZ19" s="216" t="e">
        <f>IF(CF19=CF18,AY24,"xxx")</f>
        <v>#VALUE!</v>
      </c>
      <c r="DA19" s="248" t="s">
        <v>53</v>
      </c>
      <c r="DB19" s="216" t="e">
        <f>IF(CF19=CF20,BA21,"xxx")</f>
        <v>#VALUE!</v>
      </c>
      <c r="DC19" s="216" t="e">
        <f>IF(CF19=CF21,BB23,"xxx")</f>
        <v>#VALUE!</v>
      </c>
      <c r="DD19" s="249"/>
      <c r="DE19" s="226" t="e">
        <f>SUM(CZ19:DD19)</f>
        <v>#VALUE!</v>
      </c>
      <c r="DF19" s="214" t="s">
        <v>35</v>
      </c>
      <c r="DG19" s="216" t="e">
        <f>IF(AND(BA10&lt;&gt;0,AY10=AY9),IF(BA10=BA9,AZ24,"xxx"),"xxx")</f>
        <v>#VALUE!</v>
      </c>
      <c r="DH19" s="248" t="s">
        <v>53</v>
      </c>
      <c r="DI19" s="216" t="e">
        <f>IF(AND(BA10&lt;&gt;0,AY10=AY11),IF(BA10=BA11,AZ21,"xxx"),"xxx")</f>
        <v>#VALUE!</v>
      </c>
      <c r="DJ19" s="216" t="e">
        <f>IF(AND(BA10&lt;&gt;0,AY10=AY12),IF(BA10=BA12,AZ23,"xxx"),"xxx")</f>
        <v>#VALUE!</v>
      </c>
      <c r="DK19" s="249"/>
      <c r="DL19" s="226" t="e">
        <f>SUM(DG19:DK19)</f>
        <v>#VALUE!</v>
      </c>
      <c r="DM19" s="214" t="s">
        <v>35</v>
      </c>
      <c r="DN19" s="216" t="e">
        <f>IF(AND(BA10&lt;&gt;0,AY10=AY9),IF(BA10=BA9,AY24,"xxx"),"xxx")</f>
        <v>#VALUE!</v>
      </c>
      <c r="DO19" s="248" t="s">
        <v>53</v>
      </c>
      <c r="DP19" s="216" t="e">
        <f>IF(AND(BA10&lt;&gt;0,AY10=AY11),IF(BA10=BA11,BA21,"xxx"),"xxx")</f>
        <v>#VALUE!</v>
      </c>
      <c r="DQ19" s="216" t="e">
        <f>IF(AND(BA10&lt;&gt;0,AY10=AY12),IF(BA10=BA12,BB23,"xxx"),"xxx")</f>
        <v>#VALUE!</v>
      </c>
      <c r="DR19" s="249"/>
      <c r="DS19" s="226" t="e">
        <f>SUM(DN19:DR19)</f>
        <v>#VALUE!</v>
      </c>
      <c r="DT19" s="214" t="s">
        <v>35</v>
      </c>
      <c r="DU19" s="216" t="e">
        <f>IF(AND(CF19=CF18,BA10=BA9),BL24,"kkk")</f>
        <v>#VALUE!</v>
      </c>
      <c r="DV19" s="248" t="s">
        <v>53</v>
      </c>
      <c r="DW19" s="216" t="e">
        <f>IF(AND(CF19=CF20,BA10=BA11),BH21,"kkk")</f>
        <v>#VALUE!</v>
      </c>
      <c r="DX19" s="216" t="e">
        <f>IF(AND(CF19=CF21,BA10=BA12),BH23,"kkk")</f>
        <v>#VALUE!</v>
      </c>
      <c r="DY19" s="249"/>
      <c r="DZ19" s="226" t="e">
        <f>SUM(DU19:DY19)</f>
        <v>#VALUE!</v>
      </c>
      <c r="EA19" s="214" t="s">
        <v>35</v>
      </c>
      <c r="EB19" s="216" t="e">
        <f>IF(AND(CF19=CF18,BA10=BA9),BH24,"kkk")</f>
        <v>#VALUE!</v>
      </c>
      <c r="EC19" s="248" t="s">
        <v>53</v>
      </c>
      <c r="ED19" s="216" t="e">
        <f>IF(AND(CF19=CF20,BA10=BA11),BL21,"kkk")</f>
        <v>#VALUE!</v>
      </c>
      <c r="EE19" s="216" t="e">
        <f>IF(AND(CF19=CF21,BA10=BA12),BL23,"kkk")</f>
        <v>#VALUE!</v>
      </c>
      <c r="EF19" s="249"/>
      <c r="EG19" s="226" t="e">
        <f>SUM(EB19:EF19)</f>
        <v>#VALUE!</v>
      </c>
      <c r="EH19" s="214" t="s">
        <v>35</v>
      </c>
      <c r="EI19" s="216" t="e">
        <f>IF(BD10&lt;&gt;"ùùù",IF(AND(CF19=CF18,BD10=BD9),BL24,"kkk"),"kkk")</f>
        <v>#VALUE!</v>
      </c>
      <c r="EJ19" s="248" t="s">
        <v>53</v>
      </c>
      <c r="EK19" s="216" t="e">
        <f>IF(BD10&lt;&gt;"ùùù",IF(AND(CF19=CF20,BD10=BD11),BH21,"kkk"),"kkk")</f>
        <v>#VALUE!</v>
      </c>
      <c r="EL19" s="216" t="e">
        <f>IF(BD10&lt;&gt;"ùùù",IF(AND(CF19=CF21,BD10=BD12),BH23,"kkk"),"kkk")</f>
        <v>#VALUE!</v>
      </c>
      <c r="EM19" s="249"/>
      <c r="EN19" s="226" t="e">
        <f>SUM(EI19:EM19)</f>
        <v>#VALUE!</v>
      </c>
      <c r="EO19" s="214" t="s">
        <v>35</v>
      </c>
      <c r="EP19" s="216" t="e">
        <f>IF(BD10&lt;&gt;"ùùù",IF(AND(CF19=CF18,BD10=BD9),BH24,"kkk"),"kkk")</f>
        <v>#VALUE!</v>
      </c>
      <c r="EQ19" s="248" t="s">
        <v>53</v>
      </c>
      <c r="ER19" s="216" t="e">
        <f>IF(BD10&lt;&gt;"ùùù",IF(AND(CF19=CF20,BD10=BD11),BL21,"kkk"),"kkk")</f>
        <v>#VALUE!</v>
      </c>
      <c r="ES19" s="216" t="e">
        <f>IF(BD10&lt;&gt;"ùùù",IF(AND(CF19=CF21,BD10=BD12),BL23,"kkk"),"kkk")</f>
        <v>#VALUE!</v>
      </c>
      <c r="ET19" s="249"/>
      <c r="EU19" s="226" t="e">
        <f>SUM(EP19:ET19)</f>
        <v>#VALUE!</v>
      </c>
      <c r="EV19" s="214" t="s">
        <v>35</v>
      </c>
      <c r="EW19" s="216" t="e">
        <f>IF(AND(CF19=CF18,BC10=BC9),+AG24+AI24+AK24+AM24+AO24,"xxx")</f>
        <v>#VALUE!</v>
      </c>
      <c r="EX19" s="248" t="s">
        <v>53</v>
      </c>
      <c r="EY19" s="216" t="e">
        <f>IF(AND(CF19=CF20,BC10=BC11),+AF21+AH21+AJ21+AL21+AN21,"xxx")</f>
        <v>#VALUE!</v>
      </c>
      <c r="EZ19" s="216" t="e">
        <f>IF(AND(CF19=CF21,BC10=BC12),+AF23+AH23+AJ23+AL23+AN23,"xxx")</f>
        <v>#VALUE!</v>
      </c>
      <c r="FA19" s="249"/>
      <c r="FB19" s="226" t="e">
        <f>SUM(EW19:FA19)</f>
        <v>#VALUE!</v>
      </c>
      <c r="FC19" s="214" t="s">
        <v>35</v>
      </c>
      <c r="FD19" s="216" t="e">
        <f>IF(AND(CF19=CF18,BC10=BC9),+AF24+AH24+AJ24+AL24+AN24,"xxx")</f>
        <v>#VALUE!</v>
      </c>
      <c r="FE19" s="248" t="s">
        <v>53</v>
      </c>
      <c r="FF19" s="216" t="e">
        <f>IF(AND(CF19=CF20,BC10=BC11),+AG21+AI21+AK21+AM21+AO21,"xxx")</f>
        <v>#VALUE!</v>
      </c>
      <c r="FG19" s="216" t="e">
        <f>IF(AND(CF19=CF21,BC10=BC12),+AG23+AI23+AK23+AM23+AO23,"xxx")</f>
        <v>#VALUE!</v>
      </c>
      <c r="FH19" s="249"/>
      <c r="FI19" s="226" t="e">
        <f>SUM(FD19:FH19)</f>
        <v>#VALUE!</v>
      </c>
      <c r="FJ19" s="224"/>
      <c r="FK19" s="224"/>
      <c r="FL19" s="224"/>
      <c r="FM19" s="224"/>
    </row>
    <row r="20" spans="1:169" ht="27.95" customHeight="1" x14ac:dyDescent="0.2">
      <c r="A20" s="541">
        <v>1</v>
      </c>
      <c r="B20" s="420" t="s">
        <v>13</v>
      </c>
      <c r="C20" s="421">
        <v>2</v>
      </c>
      <c r="D20" s="422" t="str">
        <f>D16</f>
        <v>Sa</v>
      </c>
      <c r="E20" s="423">
        <f>E19+0.014</f>
        <v>5.6000000000000001E-2</v>
      </c>
      <c r="F20" s="424">
        <f>F16</f>
        <v>0</v>
      </c>
      <c r="G20" s="673" t="str">
        <f t="shared" si="0"/>
        <v>GAUTIER Clemence</v>
      </c>
      <c r="H20" s="667"/>
      <c r="I20" s="667"/>
      <c r="J20" s="667"/>
      <c r="K20" s="667"/>
      <c r="L20" s="425" t="s">
        <v>9</v>
      </c>
      <c r="M20" s="667" t="str">
        <f t="shared" si="1"/>
        <v>NEMETH Aryana</v>
      </c>
      <c r="N20" s="667"/>
      <c r="O20" s="667"/>
      <c r="P20" s="667"/>
      <c r="Q20" s="668"/>
      <c r="R20" s="211"/>
      <c r="S20" s="210"/>
      <c r="T20" s="210"/>
      <c r="U20" s="210"/>
      <c r="V20" s="550"/>
      <c r="W20" s="516"/>
      <c r="X20" s="524" t="str">
        <f>IF(AND(COUNTIF(($R20:$V20),"&gt;0")&gt;=2),1,IF(AND(COUNTIF(($R20:$V20),"&lt;0")&gt;=2),0,blanc))</f>
        <v xml:space="preserve"> </v>
      </c>
      <c r="Y20" s="518" t="str">
        <f>IF(AND(X20=0),1,IF(AND(X20=1),0,blanc))</f>
        <v xml:space="preserve"> </v>
      </c>
      <c r="Z20" s="426"/>
      <c r="AA20" s="523"/>
      <c r="AC20" s="258">
        <f>IF(AF9&lt;&gt;" ",AF9," ")</f>
        <v>1</v>
      </c>
      <c r="AD20" s="259">
        <f>IF(AF12&lt;&gt;" ",AF12," ")</f>
        <v>4</v>
      </c>
      <c r="AE20" s="260" t="str">
        <f t="shared" ref="AE20:AE25" si="5">IF(AK20&lt;&gt;0,IF(BI20&lt;0,AD20,AC20),IF(BI20=2,AC20,IF(BI20=-2,AD20," ")))</f>
        <v xml:space="preserve"> </v>
      </c>
      <c r="AF20" s="261">
        <f t="shared" ref="AF20:AF25" si="6">IF(R16=0,0,IF(R16&lt;0,-R16,IF(R16&lt;10,11,R16+2)))</f>
        <v>0</v>
      </c>
      <c r="AG20" s="262">
        <f t="shared" ref="AG20:AG25" si="7">IF(R16=0,0,IF(R16&gt;0,R16,IF(R16&gt;-10,11,-R16+2)))</f>
        <v>0</v>
      </c>
      <c r="AH20" s="259">
        <f t="shared" ref="AH20:AH25" si="8">IF(S16=0,0,IF(S16&lt;0,-S16,IF(S16&lt;10,11,S16+2)))</f>
        <v>0</v>
      </c>
      <c r="AI20" s="262">
        <f t="shared" ref="AI20:AI25" si="9">IF(S16=0,0,IF(S16&gt;0,S16,IF(S16&gt;-10,11,-S16+2)))</f>
        <v>0</v>
      </c>
      <c r="AJ20" s="263">
        <f t="shared" ref="AJ20:AJ25" si="10">IF(T16=0,0,IF(T16&lt;0,-T16,IF(T16&lt;10,11,T16+2)))</f>
        <v>0</v>
      </c>
      <c r="AK20" s="262">
        <f t="shared" ref="AK20:AK25" si="11">IF(T16=0,0,IF(T16&gt;0,T16,IF(T16&gt;-10,11,-T16+2)))</f>
        <v>0</v>
      </c>
      <c r="AL20" s="263">
        <f t="shared" ref="AL20:AL25" si="12">IF(U16=0,0,IF(U16&lt;0,-U16,IF(U16&lt;10,11,U16+2)))</f>
        <v>0</v>
      </c>
      <c r="AM20" s="262">
        <f t="shared" ref="AM20:AM25" si="13">IF(U16=0,0,IF(U16&gt;0,U16,IF(U16&gt;-10,11,-U16+2)))</f>
        <v>0</v>
      </c>
      <c r="AN20" s="263">
        <f t="shared" ref="AN20:AN25" si="14">IF(V16=0,0,IF(V16&lt;0,-V16,IF(V16&lt;10,11,V16+2)))</f>
        <v>0</v>
      </c>
      <c r="AO20" s="264">
        <f t="shared" ref="AO20:AO25" si="15">IF(V16=0,0,IF(V16&gt;0,V16,IF(V16&gt;-10,11,-V16+2)))</f>
        <v>0</v>
      </c>
      <c r="AP20" s="265">
        <f>IF(BI20&gt;0,1,0)</f>
        <v>0</v>
      </c>
      <c r="AR20" s="266"/>
      <c r="AS20" s="265">
        <f>IF(BI20&lt;0,1,0)</f>
        <v>0</v>
      </c>
      <c r="AT20" s="267"/>
      <c r="AU20" s="229"/>
      <c r="AV20" s="213"/>
      <c r="AW20" s="213"/>
      <c r="AX20" s="213"/>
      <c r="AY20" s="268">
        <f>IF(BI20&gt;0,1,0)</f>
        <v>0</v>
      </c>
      <c r="BA20" s="269"/>
      <c r="BB20" s="270">
        <f>IF(BI20&lt;0,1,0)</f>
        <v>0</v>
      </c>
      <c r="BC20" s="271">
        <f t="shared" ref="BC20:BC25" si="16">IF(AF20&lt;&gt;0,IF(AF20&gt;AG20,1,-1),0)</f>
        <v>0</v>
      </c>
      <c r="BD20" s="271">
        <f t="shared" ref="BD20:BD25" si="17">IF(AH20&lt;&gt;0,IF(AH20&gt;AI20,1,-1),0)</f>
        <v>0</v>
      </c>
      <c r="BE20" s="271">
        <f t="shared" ref="BE20:BE25" si="18">IF(AJ20&lt;&gt;0,IF(AJ20&gt;AK20,1,-1),0)</f>
        <v>0</v>
      </c>
      <c r="BF20" s="271">
        <f t="shared" ref="BF20:BF25" si="19">IF(AL20&lt;&gt;0,IF(AL20&gt;AM20,1,-1),0)</f>
        <v>0</v>
      </c>
      <c r="BG20" s="271">
        <f t="shared" ref="BG20:BG25" si="20">IF(AN20&lt;&gt;0,IF(AN20&gt;AO20,1,-1),0)</f>
        <v>0</v>
      </c>
      <c r="BH20" s="271" t="str">
        <f t="shared" ref="BH20:BH25" si="21">IF(BM20=0,"M",IF(BI20&gt;0,3,IF(BI20=0,"N",3+BI20)))</f>
        <v>M</v>
      </c>
      <c r="BI20" s="271">
        <f t="shared" ref="BI20:BI25" si="22">SUM(BC20:BG20)</f>
        <v>0</v>
      </c>
      <c r="BJ20" s="271"/>
      <c r="BK20" s="271"/>
      <c r="BL20" s="271" t="e">
        <f t="shared" ref="BL20:BL25" si="23">BM20-BH20</f>
        <v>#VALUE!</v>
      </c>
      <c r="BM20" s="271">
        <f t="shared" ref="BM20:BM25" si="24">ABS(BC20)+ABS(BD20)+ABS(BE20)+ABS(BF20)+ABS(BG20)</f>
        <v>0</v>
      </c>
      <c r="BN20" s="271"/>
      <c r="BO20" s="272"/>
      <c r="BQ20" s="200"/>
      <c r="BR20" s="225"/>
      <c r="BS20" s="214" t="str">
        <f t="shared" si="2"/>
        <v>C</v>
      </c>
      <c r="BT20" s="214" t="e">
        <f>BY18</f>
        <v>#VALUE!</v>
      </c>
      <c r="BU20" s="214" t="str">
        <f>BX18</f>
        <v>M</v>
      </c>
      <c r="BV20" s="214" t="e">
        <f>BY19</f>
        <v>#VALUE!</v>
      </c>
      <c r="BW20" s="214" t="str">
        <f>BX19</f>
        <v>M</v>
      </c>
      <c r="BX20" s="244"/>
      <c r="BY20" s="244"/>
      <c r="BZ20" s="214" t="str">
        <f>BH25</f>
        <v>M</v>
      </c>
      <c r="CA20" s="245" t="e">
        <f>BL25</f>
        <v>#VALUE!</v>
      </c>
      <c r="CB20" s="225"/>
      <c r="CC20" s="225"/>
      <c r="CD20" s="246"/>
      <c r="CE20" s="246"/>
      <c r="CF20" s="226" t="e">
        <f t="shared" si="3"/>
        <v>#VALUE!</v>
      </c>
      <c r="CG20" s="219" t="e">
        <f t="shared" si="4"/>
        <v>#VALUE!</v>
      </c>
      <c r="CH20" s="214" t="e">
        <f>IF(BT20&gt;BU20,1,0)</f>
        <v>#VALUE!</v>
      </c>
      <c r="CI20" s="214" t="e">
        <f>IF(BV20&gt;BW20,1,0)</f>
        <v>#VALUE!</v>
      </c>
      <c r="CJ20" s="214" t="e">
        <f>IF(BZ20&gt;CA20,1,0)</f>
        <v>#VALUE!</v>
      </c>
      <c r="CK20" s="214">
        <f>IF(CB20&gt;CC20,1,0)</f>
        <v>0</v>
      </c>
      <c r="CL20" s="214">
        <f>IF(CD20&gt;CE20,1,0)</f>
        <v>0</v>
      </c>
      <c r="CM20" s="247" t="e">
        <f>IF(BT20&lt;BU20,1,0)</f>
        <v>#VALUE!</v>
      </c>
      <c r="CN20" s="214" t="e">
        <f>IF(BV20&lt;BW20,1,0)</f>
        <v>#VALUE!</v>
      </c>
      <c r="CO20" s="214" t="e">
        <f>IF(BZ20&lt;CA20,1,0)</f>
        <v>#VALUE!</v>
      </c>
      <c r="CP20" s="214">
        <f>IF(CB20&lt;CC20,1,0)</f>
        <v>0</v>
      </c>
      <c r="CQ20" s="214">
        <f>IF(CD20&lt;CE20,1,0)</f>
        <v>0</v>
      </c>
      <c r="CR20" s="214" t="s">
        <v>36</v>
      </c>
      <c r="CS20" s="216" t="e">
        <f>IF(CF20=CF18,BA22,"xxx")</f>
        <v>#VALUE!</v>
      </c>
      <c r="CT20" s="216" t="e">
        <f>IF(CF20=CF19,BA21,"xxx")</f>
        <v>#VALUE!</v>
      </c>
      <c r="CU20" s="248" t="s">
        <v>53</v>
      </c>
      <c r="CV20" s="216" t="e">
        <f>IF(CF20=CF21,BA25,"xxx")</f>
        <v>#VALUE!</v>
      </c>
      <c r="CW20" s="249"/>
      <c r="CX20" s="226" t="e">
        <f>SUM(CS20:CW20)</f>
        <v>#VALUE!</v>
      </c>
      <c r="CY20" s="214" t="s">
        <v>36</v>
      </c>
      <c r="CZ20" s="216" t="e">
        <f>IF(CF20=CF18,AY22,"xxx")</f>
        <v>#VALUE!</v>
      </c>
      <c r="DA20" s="216" t="e">
        <f>IF(CF20=CF19,AZ21,"xxx")</f>
        <v>#VALUE!</v>
      </c>
      <c r="DB20" s="248" t="s">
        <v>53</v>
      </c>
      <c r="DC20" s="216" t="e">
        <f>IF(CF20=CF21,BB25,"xxx")</f>
        <v>#VALUE!</v>
      </c>
      <c r="DD20" s="249"/>
      <c r="DE20" s="226" t="e">
        <f>SUM(CZ20:DD20)</f>
        <v>#VALUE!</v>
      </c>
      <c r="DF20" s="214" t="s">
        <v>36</v>
      </c>
      <c r="DG20" s="216" t="e">
        <f>IF(AND(BA11&lt;&gt;0,AY11=AY9),IF(BA11=BA9,BA22,"xxx"),"xxx")</f>
        <v>#VALUE!</v>
      </c>
      <c r="DH20" s="216" t="e">
        <f>IF(AND(BA11&lt;&gt;0,AY11=AY10),IF(BA11=BA10,BA21,"xxx"),"xxx")</f>
        <v>#VALUE!</v>
      </c>
      <c r="DI20" s="248" t="s">
        <v>53</v>
      </c>
      <c r="DJ20" s="216" t="e">
        <f>IF(AND(BA11&lt;&gt;0,AY11=AY12),IF(BA11=BA12,BA25,"xxx"),"xxx")</f>
        <v>#VALUE!</v>
      </c>
      <c r="DK20" s="249"/>
      <c r="DL20" s="226" t="e">
        <f>SUM(DG20:DK20)</f>
        <v>#VALUE!</v>
      </c>
      <c r="DM20" s="214" t="s">
        <v>36</v>
      </c>
      <c r="DN20" s="216" t="e">
        <f>IF(AND(BA11&lt;&gt;0,AY11=AY9),IF(BA11=BA9,AY22,"xxx"),"xxx")</f>
        <v>#VALUE!</v>
      </c>
      <c r="DO20" s="216" t="e">
        <f>IF(AND(BA11&lt;&gt;0,AY11=AY10),IF(BA11=BA10,AZ21,"xxx"),"xxx")</f>
        <v>#VALUE!</v>
      </c>
      <c r="DP20" s="248" t="s">
        <v>53</v>
      </c>
      <c r="DQ20" s="216" t="e">
        <f>IF(AND(BA11&lt;&gt;0,AY11=AY12),IF(BA11=BA12,BB25,"xxx"),"xxx")</f>
        <v>#VALUE!</v>
      </c>
      <c r="DR20" s="249"/>
      <c r="DS20" s="226" t="e">
        <f>SUM(DN20:DR20)</f>
        <v>#VALUE!</v>
      </c>
      <c r="DT20" s="214" t="s">
        <v>36</v>
      </c>
      <c r="DU20" s="216" t="e">
        <f>IF(AND(CF20=CF18,BA11=BA9),BL22,"kkk")</f>
        <v>#VALUE!</v>
      </c>
      <c r="DV20" s="216" t="e">
        <f>IF(AND(CF20=CF19,BA11=BA10),BL21,"kkk")</f>
        <v>#VALUE!</v>
      </c>
      <c r="DW20" s="248" t="s">
        <v>53</v>
      </c>
      <c r="DX20" s="216" t="e">
        <f>IF(AND(CF20=CF21,BA11=BA12),BH25,"kkk")</f>
        <v>#VALUE!</v>
      </c>
      <c r="DY20" s="249"/>
      <c r="DZ20" s="226" t="e">
        <f>SUM(DU20:DY20)</f>
        <v>#VALUE!</v>
      </c>
      <c r="EA20" s="214" t="s">
        <v>36</v>
      </c>
      <c r="EB20" s="216" t="e">
        <f>IF(AND(CF20=CF18,BA11=BA9),BH22,"kkk")</f>
        <v>#VALUE!</v>
      </c>
      <c r="EC20" s="216" t="e">
        <f>IF(AND(CF20=CF19,BA11=BA10),BH21,"kkk")</f>
        <v>#VALUE!</v>
      </c>
      <c r="ED20" s="248" t="s">
        <v>53</v>
      </c>
      <c r="EE20" s="216" t="e">
        <f>IF(AND(CF20=CF21,BA11=BA12),BL25,"kkk")</f>
        <v>#VALUE!</v>
      </c>
      <c r="EF20" s="249"/>
      <c r="EG20" s="226" t="e">
        <f>SUM(EB20:EF20)</f>
        <v>#VALUE!</v>
      </c>
      <c r="EH20" s="214" t="s">
        <v>36</v>
      </c>
      <c r="EI20" s="216" t="e">
        <f>IF(BD11&lt;&gt;"ùùù",IF(AND(CF20=CF18,BD11=BD9),BL22,"kkk"),"kkk")</f>
        <v>#VALUE!</v>
      </c>
      <c r="EJ20" s="216" t="e">
        <f>IF(BD11&lt;&gt;"ùùù",IF(AND(CF20=CF19,BD11=BD10),BL21,"kkk"),"kkk")</f>
        <v>#VALUE!</v>
      </c>
      <c r="EK20" s="248" t="s">
        <v>53</v>
      </c>
      <c r="EL20" s="216" t="e">
        <f>IF(BD11&lt;&gt;"ùùù",IF(AND(CF20=CF21,BD11=BD12),BH25,"kkk"),"kkk")</f>
        <v>#VALUE!</v>
      </c>
      <c r="EM20" s="249"/>
      <c r="EN20" s="226" t="e">
        <f>SUM(EI20:EM20)</f>
        <v>#VALUE!</v>
      </c>
      <c r="EO20" s="214" t="s">
        <v>36</v>
      </c>
      <c r="EP20" s="216" t="e">
        <f>IF(BD11&lt;&gt;"ùùù",IF(AND(CF20=CF18,BD11=BD9),BH22,"kkk"),"kkk")</f>
        <v>#VALUE!</v>
      </c>
      <c r="EQ20" s="216" t="e">
        <f>IF(BD11&lt;&gt;"ùùù",IF(AND(CF20=CF19,BD11=BD10),BH21,"kkk"),"kkk")</f>
        <v>#VALUE!</v>
      </c>
      <c r="ER20" s="248" t="s">
        <v>53</v>
      </c>
      <c r="ES20" s="216" t="e">
        <f>IF(BD11&lt;&gt;"ùùù",IF(AND(CF20=CF21,BD11=BD12),BL25,"kkk"),"kkk")</f>
        <v>#VALUE!</v>
      </c>
      <c r="ET20" s="249"/>
      <c r="EU20" s="226" t="e">
        <f>SUM(EP20:ET20)</f>
        <v>#VALUE!</v>
      </c>
      <c r="EV20" s="214" t="s">
        <v>36</v>
      </c>
      <c r="EW20" s="216" t="e">
        <f>IF(AND(CF20=CF18,BC11=BC9),+AG22+AI22+AK22+AM22+AO22,"xxx")</f>
        <v>#VALUE!</v>
      </c>
      <c r="EX20" s="216" t="e">
        <f>IF(AND(CF20=CF19,BC11=BC10),+AG21+AI21+AK21+AM21+AO21,"xxx")</f>
        <v>#VALUE!</v>
      </c>
      <c r="EY20" s="248" t="s">
        <v>53</v>
      </c>
      <c r="EZ20" s="216" t="e">
        <f>IF(AND(CF20=CF21,BC11=BC12),+AF25+AH25+AJ25+AL25+AN25,"xxx")</f>
        <v>#VALUE!</v>
      </c>
      <c r="FA20" s="249"/>
      <c r="FB20" s="226" t="e">
        <f>SUM(EW20:FA20)</f>
        <v>#VALUE!</v>
      </c>
      <c r="FC20" s="214" t="s">
        <v>36</v>
      </c>
      <c r="FD20" s="216" t="e">
        <f>IF(AND(CF20=CF18,BC11=BC9),+AF22+AH22+AJ22+AL22+AN22,"xxx")</f>
        <v>#VALUE!</v>
      </c>
      <c r="FE20" s="216" t="e">
        <f>IF(AND(CF20=CF19,BC11=BC10),+AF21+AH21+AJ21+AL21+AN21,"xxx")</f>
        <v>#VALUE!</v>
      </c>
      <c r="FF20" s="248" t="s">
        <v>53</v>
      </c>
      <c r="FG20" s="216" t="e">
        <f>IF(AND(CF20=CF21,BC11=BC12),+AG25+AI25+AK25+AM25+AO25,"xxx")</f>
        <v>#VALUE!</v>
      </c>
      <c r="FH20" s="249"/>
      <c r="FI20" s="226" t="e">
        <f>SUM(FD20:FH20)</f>
        <v>#VALUE!</v>
      </c>
      <c r="FJ20" s="213"/>
      <c r="FK20" s="213"/>
      <c r="FL20" s="213"/>
      <c r="FM20" s="213"/>
    </row>
    <row r="21" spans="1:169" ht="27.95" customHeight="1" thickBot="1" x14ac:dyDescent="0.25">
      <c r="A21" s="411">
        <v>3</v>
      </c>
      <c r="B21" s="399" t="s">
        <v>13</v>
      </c>
      <c r="C21" s="542">
        <v>4</v>
      </c>
      <c r="D21" s="543"/>
      <c r="E21" s="544">
        <f>E20+0.014</f>
        <v>7.0000000000000007E-2</v>
      </c>
      <c r="F21" s="545">
        <f>F16</f>
        <v>0</v>
      </c>
      <c r="G21" s="674" t="str">
        <f t="shared" si="0"/>
        <v>MONIER Perrine</v>
      </c>
      <c r="H21" s="669"/>
      <c r="I21" s="669"/>
      <c r="J21" s="669"/>
      <c r="K21" s="669"/>
      <c r="L21" s="403" t="s">
        <v>9</v>
      </c>
      <c r="M21" s="669">
        <f t="shared" si="1"/>
        <v>0</v>
      </c>
      <c r="N21" s="669"/>
      <c r="O21" s="669"/>
      <c r="P21" s="669"/>
      <c r="Q21" s="670"/>
      <c r="R21" s="551"/>
      <c r="S21" s="552"/>
      <c r="T21" s="552"/>
      <c r="U21" s="552"/>
      <c r="V21" s="553"/>
      <c r="W21" s="516"/>
      <c r="X21" s="526"/>
      <c r="Y21" s="527"/>
      <c r="Z21" s="528" t="str">
        <f>IF(AND(COUNTIF(($R21:$V21),"&gt;0")&gt;=2),1,IF(AND(COUNTIF(($R21:$V21),"&lt;0")&gt;=2),0,blanc))</f>
        <v xml:space="preserve"> </v>
      </c>
      <c r="AA21" s="529" t="str">
        <f>IF(AND(Z21=0),1,IF(AND(Z21=1),0,blanc))</f>
        <v xml:space="preserve"> </v>
      </c>
      <c r="AC21" s="273">
        <f>IF(AF10&lt;&gt;" ",AF10," ")</f>
        <v>2</v>
      </c>
      <c r="AD21" s="274">
        <f>IF(AF11&lt;&gt;" ",AF11," ")</f>
        <v>3</v>
      </c>
      <c r="AE21" s="275" t="str">
        <f t="shared" si="5"/>
        <v xml:space="preserve"> </v>
      </c>
      <c r="AF21" s="261">
        <f t="shared" si="6"/>
        <v>0</v>
      </c>
      <c r="AG21" s="262">
        <f t="shared" si="7"/>
        <v>0</v>
      </c>
      <c r="AH21" s="259">
        <f t="shared" si="8"/>
        <v>0</v>
      </c>
      <c r="AI21" s="262">
        <f t="shared" si="9"/>
        <v>0</v>
      </c>
      <c r="AJ21" s="263">
        <f t="shared" si="10"/>
        <v>0</v>
      </c>
      <c r="AK21" s="262">
        <f t="shared" si="11"/>
        <v>0</v>
      </c>
      <c r="AL21" s="263">
        <f t="shared" si="12"/>
        <v>0</v>
      </c>
      <c r="AM21" s="262">
        <f t="shared" si="13"/>
        <v>0</v>
      </c>
      <c r="AN21" s="263">
        <f t="shared" si="14"/>
        <v>0</v>
      </c>
      <c r="AO21" s="264">
        <f t="shared" si="15"/>
        <v>0</v>
      </c>
      <c r="AP21" s="276"/>
      <c r="AQ21" s="277">
        <f>IF(BI21&gt;0,1,0)</f>
        <v>0</v>
      </c>
      <c r="AR21" s="277">
        <f>IF(BI21&lt;0,1,0)</f>
        <v>0</v>
      </c>
      <c r="AT21" s="278"/>
      <c r="AU21" s="229"/>
      <c r="AV21" s="213"/>
      <c r="AW21" s="213"/>
      <c r="AX21" s="213"/>
      <c r="AY21" s="279"/>
      <c r="AZ21" s="280">
        <f>IF(BI21&gt;0,1,0)</f>
        <v>0</v>
      </c>
      <c r="BA21" s="280">
        <f>IF(BI21&lt;0,1,0)</f>
        <v>0</v>
      </c>
      <c r="BB21" s="281"/>
      <c r="BC21" s="216">
        <f t="shared" si="16"/>
        <v>0</v>
      </c>
      <c r="BD21" s="216">
        <f t="shared" si="17"/>
        <v>0</v>
      </c>
      <c r="BE21" s="216">
        <f t="shared" si="18"/>
        <v>0</v>
      </c>
      <c r="BF21" s="216">
        <f t="shared" si="19"/>
        <v>0</v>
      </c>
      <c r="BG21" s="216">
        <f t="shared" si="20"/>
        <v>0</v>
      </c>
      <c r="BH21" s="216" t="str">
        <f t="shared" si="21"/>
        <v>M</v>
      </c>
      <c r="BI21" s="216">
        <f t="shared" si="22"/>
        <v>0</v>
      </c>
      <c r="BJ21" s="216"/>
      <c r="BK21" s="216"/>
      <c r="BL21" s="216" t="e">
        <f t="shared" si="23"/>
        <v>#VALUE!</v>
      </c>
      <c r="BM21" s="216">
        <f t="shared" si="24"/>
        <v>0</v>
      </c>
      <c r="BN21" s="216"/>
      <c r="BO21" s="257"/>
      <c r="BQ21" s="200"/>
      <c r="BR21" s="225"/>
      <c r="BS21" s="214" t="str">
        <f t="shared" si="2"/>
        <v>D</v>
      </c>
      <c r="BT21" s="214" t="e">
        <f>CA18</f>
        <v>#VALUE!</v>
      </c>
      <c r="BU21" s="214" t="str">
        <f>BZ18</f>
        <v>M</v>
      </c>
      <c r="BV21" s="214" t="e">
        <f>CA19</f>
        <v>#VALUE!</v>
      </c>
      <c r="BW21" s="214" t="str">
        <f>BZ19</f>
        <v>M</v>
      </c>
      <c r="BX21" s="214" t="e">
        <f>CA20</f>
        <v>#VALUE!</v>
      </c>
      <c r="BY21" s="214" t="str">
        <f>BZ20</f>
        <v>M</v>
      </c>
      <c r="BZ21" s="244"/>
      <c r="CA21" s="282"/>
      <c r="CB21" s="225"/>
      <c r="CC21" s="225"/>
      <c r="CD21" s="246"/>
      <c r="CE21" s="246"/>
      <c r="CF21" s="226" t="e">
        <f t="shared" si="3"/>
        <v>#VALUE!</v>
      </c>
      <c r="CG21" s="219" t="e">
        <f t="shared" si="4"/>
        <v>#VALUE!</v>
      </c>
      <c r="CH21" s="283" t="e">
        <f>IF(BT21&gt;BU21,1,0)</f>
        <v>#VALUE!</v>
      </c>
      <c r="CI21" s="283" t="e">
        <f>IF(BV21&gt;BW21,1,0)</f>
        <v>#VALUE!</v>
      </c>
      <c r="CJ21" s="283" t="e">
        <f>IF(BX21&gt;BY21,1,0)</f>
        <v>#VALUE!</v>
      </c>
      <c r="CK21" s="283">
        <f>IF(CB21&gt;CC21,1,0)</f>
        <v>0</v>
      </c>
      <c r="CL21" s="283">
        <f>IF(CD21&gt;CE21,1,0)</f>
        <v>0</v>
      </c>
      <c r="CM21" s="284" t="e">
        <f>IF(BT21&lt;BU21,1,0)</f>
        <v>#VALUE!</v>
      </c>
      <c r="CN21" s="283" t="e">
        <f>IF(BV21&lt;BW21,1,0)</f>
        <v>#VALUE!</v>
      </c>
      <c r="CO21" s="283" t="e">
        <f>IF(BX21&lt;BY21,1,0)</f>
        <v>#VALUE!</v>
      </c>
      <c r="CP21" s="283">
        <f>IF(CB21&lt;CC21,1,0)</f>
        <v>0</v>
      </c>
      <c r="CQ21" s="283">
        <f>IF(CD21&lt;CE21,1,0)</f>
        <v>0</v>
      </c>
      <c r="CR21" s="283" t="s">
        <v>61</v>
      </c>
      <c r="CS21" s="252" t="e">
        <f>IF(CF21=CF18,BB20,"xxx")</f>
        <v>#VALUE!</v>
      </c>
      <c r="CT21" s="252" t="e">
        <f>IF(CF21=CF19,BB23,"xxx")</f>
        <v>#VALUE!</v>
      </c>
      <c r="CU21" s="252" t="e">
        <f>IF(CF21=CF20,BB25,"xxx")</f>
        <v>#VALUE!</v>
      </c>
      <c r="CV21" s="285" t="s">
        <v>53</v>
      </c>
      <c r="CW21" s="286"/>
      <c r="CX21" s="226" t="e">
        <f>SUM(CS21:CW21)</f>
        <v>#VALUE!</v>
      </c>
      <c r="CY21" s="283" t="s">
        <v>61</v>
      </c>
      <c r="CZ21" s="252" t="e">
        <f>IF(CF21=CF18,AY20,"xxx")</f>
        <v>#VALUE!</v>
      </c>
      <c r="DA21" s="252" t="e">
        <f>IF(CF21=CF19,AZ23,"xxx")</f>
        <v>#VALUE!</v>
      </c>
      <c r="DB21" s="252" t="e">
        <f>IF(CF21=CF20,BA25,"xxx")</f>
        <v>#VALUE!</v>
      </c>
      <c r="DC21" s="285" t="s">
        <v>53</v>
      </c>
      <c r="DD21" s="286"/>
      <c r="DE21" s="287" t="e">
        <f>SUM(CZ21:DD21)</f>
        <v>#VALUE!</v>
      </c>
      <c r="DF21" s="283" t="s">
        <v>61</v>
      </c>
      <c r="DG21" s="252" t="e">
        <f>IF(AND(BA12&lt;&gt;0,AY12=AY9),IF(BA12=BA9,BB20,"xxx"),"xxx")</f>
        <v>#VALUE!</v>
      </c>
      <c r="DH21" s="252" t="e">
        <f>IF(AND(BA12&lt;&gt;0,AY12=AY10),IF(BA12=BA10,BB23,"xxx"),"xxx")</f>
        <v>#VALUE!</v>
      </c>
      <c r="DI21" s="252" t="e">
        <f>IF(AND(BA12&lt;&gt;0,AY12=AY11),IF(BA12=BA11,BB25,"xxx"),"xxx")</f>
        <v>#VALUE!</v>
      </c>
      <c r="DJ21" s="285" t="s">
        <v>53</v>
      </c>
      <c r="DK21" s="286"/>
      <c r="DL21" s="226" t="e">
        <f>SUM(DG21:DK21)</f>
        <v>#VALUE!</v>
      </c>
      <c r="DM21" s="283" t="s">
        <v>61</v>
      </c>
      <c r="DN21" s="252" t="e">
        <f>IF(AND(BA12&lt;&gt;0,AY12=AY9),IF(BA12=BA9,AY20,"xxx"),"xxx")</f>
        <v>#VALUE!</v>
      </c>
      <c r="DO21" s="252" t="e">
        <f>IF(AND(BA12&lt;&gt;0,AY12=AY10),IF(BA12=BA10,AZ23,"xxx"),"xxx")</f>
        <v>#VALUE!</v>
      </c>
      <c r="DP21" s="252" t="e">
        <f>IF(AND(BA12&lt;&gt;0,AY12=AY11),IF(BA12=BA11,BA25,"xxx"),"xxx")</f>
        <v>#VALUE!</v>
      </c>
      <c r="DQ21" s="285" t="s">
        <v>53</v>
      </c>
      <c r="DR21" s="286"/>
      <c r="DS21" s="226" t="e">
        <f>SUM(DN21:DR21)</f>
        <v>#VALUE!</v>
      </c>
      <c r="DT21" s="283" t="s">
        <v>61</v>
      </c>
      <c r="DU21" s="252" t="e">
        <f>IF(AND(CF21=CF18,BA12=BA9),BL20,"kkk")</f>
        <v>#VALUE!</v>
      </c>
      <c r="DV21" s="252" t="e">
        <f>IF(AND(CF21=CF19,BA12=BA10),BL23,"kkk")</f>
        <v>#VALUE!</v>
      </c>
      <c r="DW21" s="252" t="e">
        <f>IF(AND(CF21=CF20,BA12=BA11),BL25,"kkk")</f>
        <v>#VALUE!</v>
      </c>
      <c r="DX21" s="285" t="s">
        <v>53</v>
      </c>
      <c r="DY21" s="286"/>
      <c r="DZ21" s="226" t="e">
        <f>SUM(DU21:DY21)</f>
        <v>#VALUE!</v>
      </c>
      <c r="EA21" s="283" t="s">
        <v>61</v>
      </c>
      <c r="EB21" s="252" t="e">
        <f>IF(AND(CF21=CF18,BA12=BA9),BH20,"kkk")</f>
        <v>#VALUE!</v>
      </c>
      <c r="EC21" s="252" t="e">
        <f>IF(AND(CF21=CF19,BA12=BA10),BH23,"kkk")</f>
        <v>#VALUE!</v>
      </c>
      <c r="ED21" s="252" t="e">
        <f>IF(AND(CF21=CF20,BA12=BA11),BH25,"kkk")</f>
        <v>#VALUE!</v>
      </c>
      <c r="EE21" s="285" t="s">
        <v>53</v>
      </c>
      <c r="EF21" s="286"/>
      <c r="EG21" s="226" t="e">
        <f>SUM(EB21:EF21)</f>
        <v>#VALUE!</v>
      </c>
      <c r="EH21" s="283" t="s">
        <v>61</v>
      </c>
      <c r="EI21" s="252" t="e">
        <f>IF(BD12&lt;&gt;"ùùù",IF(AND(CF21=CF18,BD12=BD9),BL20,"kkk"),"kkk")</f>
        <v>#VALUE!</v>
      </c>
      <c r="EJ21" s="252" t="e">
        <f>IF(BD12&lt;&gt;"ùùù",IF(AND(CF21=CF19,BD12=BD10),BL23,"kkk"),"kkk")</f>
        <v>#VALUE!</v>
      </c>
      <c r="EK21" s="252" t="e">
        <f>IF(BD12&lt;&gt;"ùùù",IF(AND(CF21=CF20,BD12=BD11),BL25,"kkk"),"kkk")</f>
        <v>#VALUE!</v>
      </c>
      <c r="EL21" s="285" t="s">
        <v>53</v>
      </c>
      <c r="EM21" s="286"/>
      <c r="EN21" s="226" t="e">
        <f>SUM(EI21:EM21)</f>
        <v>#VALUE!</v>
      </c>
      <c r="EO21" s="283" t="s">
        <v>61</v>
      </c>
      <c r="EP21" s="252" t="e">
        <f>IF(BD12&lt;&gt;"ùùù",IF(AND(CF21=CF18,BD12=BD9),BH20,"kkk"),"kkk")</f>
        <v>#VALUE!</v>
      </c>
      <c r="EQ21" s="252" t="e">
        <f>IF(BD12&lt;&gt;"ùùù",IF(AND(CF21=CF19,BD12=BD10),BH23,"kkk"),"kkk")</f>
        <v>#VALUE!</v>
      </c>
      <c r="ER21" s="252" t="e">
        <f>IF(BD12&lt;&gt;"ùùù",IF(AND(CF21=CF20,BD12=BD11),BH25,"kkk"),"kkk")</f>
        <v>#VALUE!</v>
      </c>
      <c r="ES21" s="285" t="s">
        <v>53</v>
      </c>
      <c r="ET21" s="286"/>
      <c r="EU21" s="226" t="e">
        <f>SUM(EP21:ET21)</f>
        <v>#VALUE!</v>
      </c>
      <c r="EV21" s="283" t="s">
        <v>61</v>
      </c>
      <c r="EW21" s="252" t="e">
        <f>IF(AND(CF21=CF18,BC12=BC9),+AG20+AI20+AK20+AM20+AO20,"xxx")</f>
        <v>#VALUE!</v>
      </c>
      <c r="EX21" s="252" t="e">
        <f>IF(AND(CF21=CF19,BC12=BC10),+AG23+AI23+AK23+AM23+AO23,"xxx")</f>
        <v>#VALUE!</v>
      </c>
      <c r="EY21" s="252" t="e">
        <f>IF(AND(CF21=CF20,BC11=BC12),+AG25+AI25+AK25+AM25+AO25,"xxx")</f>
        <v>#VALUE!</v>
      </c>
      <c r="EZ21" s="285" t="s">
        <v>53</v>
      </c>
      <c r="FA21" s="286"/>
      <c r="FB21" s="226" t="e">
        <f>SUM(EW21:FA21)</f>
        <v>#VALUE!</v>
      </c>
      <c r="FC21" s="283" t="s">
        <v>61</v>
      </c>
      <c r="FD21" s="252" t="e">
        <f>IF(AND(CF21=CF18,BC12=BC9),+AF20+AH20+AJ20+AL20+AN20,"xxx")</f>
        <v>#VALUE!</v>
      </c>
      <c r="FE21" s="252" t="e">
        <f>IF(AND(CF21=CF19,BC12=BC10),+AF23+AH23+AJ23+AL23+AN23,"xxx")</f>
        <v>#VALUE!</v>
      </c>
      <c r="FF21" s="252" t="e">
        <f>IF(AND(CF21=CF20,BC12=BC11),+AF25+AH25+AJ25+AL25+AN25,"xxx")</f>
        <v>#VALUE!</v>
      </c>
      <c r="FG21" s="285" t="s">
        <v>53</v>
      </c>
      <c r="FH21" s="286"/>
      <c r="FI21" s="226" t="e">
        <f>SUM(FD21:FH21)</f>
        <v>#VALUE!</v>
      </c>
      <c r="FJ21" s="213"/>
      <c r="FK21" s="213"/>
      <c r="FL21" s="213"/>
      <c r="FM21" s="213"/>
    </row>
    <row r="22" spans="1:169" ht="21.95" customHeight="1" x14ac:dyDescent="0.2">
      <c r="A22" s="394"/>
      <c r="B22" s="388"/>
      <c r="C22" s="427"/>
      <c r="D22" s="427"/>
      <c r="E22" s="427"/>
      <c r="F22" s="427"/>
      <c r="G22" s="388"/>
      <c r="H22" s="390"/>
      <c r="I22" s="390"/>
      <c r="J22" s="390"/>
      <c r="K22" s="390"/>
      <c r="L22" s="428">
        <v>6</v>
      </c>
      <c r="M22" s="396"/>
      <c r="N22" s="428" t="s">
        <v>3</v>
      </c>
      <c r="O22" s="728" t="s">
        <v>17</v>
      </c>
      <c r="P22" s="729"/>
      <c r="Q22" s="729"/>
      <c r="R22" s="729"/>
      <c r="S22" s="729"/>
      <c r="T22" s="729"/>
      <c r="U22" s="729"/>
      <c r="V22" s="730"/>
      <c r="W22" s="517"/>
      <c r="X22" s="555" t="str">
        <f>IF(X16=blanc,blanc,SUM(X16:X21))</f>
        <v xml:space="preserve"> </v>
      </c>
      <c r="Y22" s="519" t="str">
        <f>IF(X16=blanc,blanc,SUM(Y16:Y21))</f>
        <v xml:space="preserve"> </v>
      </c>
      <c r="Z22" s="519" t="str">
        <f>IF(X16=blanc,blanc,SUM(Z16:Z21))</f>
        <v xml:space="preserve"> </v>
      </c>
      <c r="AA22" s="556" t="str">
        <f>IF(X16=blanc,blanc,SUM(AA16:AA21))</f>
        <v xml:space="preserve"> </v>
      </c>
      <c r="AB22" s="398">
        <f>SUM(X22:AA22)</f>
        <v>0</v>
      </c>
      <c r="AC22" s="273">
        <f>IF(AF9&lt;&gt;" ",AF9," ")</f>
        <v>1</v>
      </c>
      <c r="AD22" s="274">
        <f>IF(AF11&lt;&gt;" ",AF11," ")</f>
        <v>3</v>
      </c>
      <c r="AE22" s="275" t="str">
        <f t="shared" si="5"/>
        <v xml:space="preserve"> </v>
      </c>
      <c r="AF22" s="261">
        <f t="shared" si="6"/>
        <v>0</v>
      </c>
      <c r="AG22" s="262">
        <f t="shared" si="7"/>
        <v>0</v>
      </c>
      <c r="AH22" s="259">
        <f t="shared" si="8"/>
        <v>0</v>
      </c>
      <c r="AI22" s="262">
        <f t="shared" si="9"/>
        <v>0</v>
      </c>
      <c r="AJ22" s="263">
        <f t="shared" si="10"/>
        <v>0</v>
      </c>
      <c r="AK22" s="262">
        <f t="shared" si="11"/>
        <v>0</v>
      </c>
      <c r="AL22" s="263">
        <f t="shared" si="12"/>
        <v>0</v>
      </c>
      <c r="AM22" s="262">
        <f t="shared" si="13"/>
        <v>0</v>
      </c>
      <c r="AN22" s="263">
        <f t="shared" si="14"/>
        <v>0</v>
      </c>
      <c r="AO22" s="264">
        <f t="shared" si="15"/>
        <v>0</v>
      </c>
      <c r="AP22" s="288">
        <f>IF(BI22&gt;0,1,0)</f>
        <v>0</v>
      </c>
      <c r="AQ22" s="289"/>
      <c r="AR22" s="290">
        <f>IF(BI22&lt;0,1,0)</f>
        <v>0</v>
      </c>
      <c r="AS22" s="291"/>
      <c r="AT22" s="267"/>
      <c r="AU22" s="229"/>
      <c r="AV22" s="213"/>
      <c r="AW22" s="213"/>
      <c r="AX22" s="213"/>
      <c r="AY22" s="292">
        <f>IF(BI22&gt;0,1,0)</f>
        <v>0</v>
      </c>
      <c r="AZ22" s="293"/>
      <c r="BA22" s="280">
        <f>IF(BI22&lt;0,1,0)</f>
        <v>0</v>
      </c>
      <c r="BB22" s="294"/>
      <c r="BC22" s="216">
        <f t="shared" si="16"/>
        <v>0</v>
      </c>
      <c r="BD22" s="216">
        <f t="shared" si="17"/>
        <v>0</v>
      </c>
      <c r="BE22" s="216">
        <f t="shared" si="18"/>
        <v>0</v>
      </c>
      <c r="BF22" s="216">
        <f t="shared" si="19"/>
        <v>0</v>
      </c>
      <c r="BG22" s="216">
        <f t="shared" si="20"/>
        <v>0</v>
      </c>
      <c r="BH22" s="216" t="str">
        <f t="shared" si="21"/>
        <v>M</v>
      </c>
      <c r="BI22" s="216">
        <f t="shared" si="22"/>
        <v>0</v>
      </c>
      <c r="BJ22" s="216"/>
      <c r="BK22" s="216"/>
      <c r="BL22" s="216" t="e">
        <f t="shared" si="23"/>
        <v>#VALUE!</v>
      </c>
      <c r="BM22" s="216">
        <f t="shared" si="24"/>
        <v>0</v>
      </c>
      <c r="BN22" s="216"/>
      <c r="BO22" s="257"/>
      <c r="BQ22" s="200"/>
      <c r="BR22" s="225"/>
      <c r="BS22" s="283">
        <f t="shared" si="2"/>
        <v>0</v>
      </c>
      <c r="BT22" s="283">
        <f>CC18</f>
        <v>0</v>
      </c>
      <c r="BU22" s="283">
        <f>CB18</f>
        <v>0</v>
      </c>
      <c r="BV22" s="283">
        <f>CC19</f>
        <v>0</v>
      </c>
      <c r="BW22" s="283">
        <f>CB19</f>
        <v>0</v>
      </c>
      <c r="BX22" s="283">
        <f>CC20</f>
        <v>0</v>
      </c>
      <c r="BY22" s="283">
        <f>CB20</f>
        <v>0</v>
      </c>
      <c r="BZ22" s="283">
        <f>CC21</f>
        <v>0</v>
      </c>
      <c r="CA22" s="295">
        <f>CB21</f>
        <v>0</v>
      </c>
      <c r="CB22" s="246"/>
      <c r="CC22" s="246"/>
      <c r="CD22" s="246"/>
      <c r="CE22" s="246"/>
      <c r="CF22" s="226">
        <f t="shared" si="3"/>
        <v>0</v>
      </c>
      <c r="CG22" s="219">
        <f t="shared" si="4"/>
        <v>0</v>
      </c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29"/>
      <c r="CT22" s="229"/>
      <c r="CU22" s="229"/>
      <c r="CV22" s="229"/>
      <c r="CW22" s="229"/>
      <c r="CX22" s="229"/>
      <c r="CY22" s="246"/>
      <c r="CZ22" s="229"/>
      <c r="DA22" s="229"/>
      <c r="DB22" s="229"/>
      <c r="DC22" s="229"/>
      <c r="DD22" s="229"/>
      <c r="DE22" s="229"/>
      <c r="DF22" s="246"/>
      <c r="DG22" s="229"/>
      <c r="DH22" s="229"/>
      <c r="DI22" s="229"/>
      <c r="DJ22" s="229"/>
      <c r="DK22" s="229"/>
      <c r="DL22" s="229"/>
      <c r="DM22" s="246"/>
      <c r="DN22" s="229"/>
      <c r="DO22" s="229"/>
      <c r="DP22" s="229"/>
      <c r="DQ22" s="229"/>
      <c r="DR22" s="229"/>
      <c r="DS22" s="229"/>
      <c r="DT22" s="246"/>
      <c r="DU22" s="229"/>
      <c r="DV22" s="229"/>
      <c r="DW22" s="229"/>
      <c r="DX22" s="229"/>
      <c r="DY22" s="229"/>
      <c r="DZ22" s="229"/>
      <c r="EA22" s="246"/>
      <c r="EB22" s="229"/>
      <c r="EC22" s="229"/>
      <c r="ED22" s="229"/>
      <c r="EE22" s="229"/>
      <c r="EF22" s="229"/>
      <c r="EG22" s="229"/>
      <c r="EH22" s="246"/>
      <c r="EI22" s="229"/>
      <c r="EJ22" s="229"/>
      <c r="EK22" s="229"/>
      <c r="EL22" s="229"/>
      <c r="EM22" s="229"/>
      <c r="EN22" s="229"/>
      <c r="EO22" s="246"/>
      <c r="EP22" s="229"/>
      <c r="EQ22" s="229"/>
      <c r="ER22" s="229"/>
      <c r="ES22" s="229"/>
      <c r="ET22" s="229"/>
      <c r="EU22" s="229"/>
      <c r="EV22" s="246"/>
      <c r="EW22" s="229"/>
      <c r="EX22" s="229"/>
      <c r="EY22" s="229"/>
      <c r="EZ22" s="229"/>
      <c r="FA22" s="229"/>
      <c r="FB22" s="229"/>
      <c r="FC22" s="246"/>
      <c r="FD22" s="229"/>
      <c r="FE22" s="229"/>
      <c r="FF22" s="229"/>
      <c r="FG22" s="229"/>
      <c r="FH22" s="229"/>
      <c r="FI22" s="229"/>
      <c r="FJ22" s="213"/>
      <c r="FK22" s="213"/>
      <c r="FL22" s="213"/>
      <c r="FM22" s="213"/>
    </row>
    <row r="23" spans="1:169" ht="21.95" customHeight="1" thickBot="1" x14ac:dyDescent="0.25">
      <c r="A23" s="394"/>
      <c r="B23" s="429" t="s">
        <v>4</v>
      </c>
      <c r="C23" s="388"/>
      <c r="D23" s="388"/>
      <c r="E23" s="388"/>
      <c r="F23" s="388"/>
      <c r="G23" s="388"/>
      <c r="H23" s="390"/>
      <c r="I23" s="390"/>
      <c r="J23" s="390"/>
      <c r="K23" s="296" t="s">
        <v>3</v>
      </c>
      <c r="L23" s="297"/>
      <c r="M23" s="298" t="str">
        <f>IF(AB23=AB22,K23,IF(AB23&gt;AB22,""))</f>
        <v/>
      </c>
      <c r="N23" s="390"/>
      <c r="O23" s="699" t="s">
        <v>18</v>
      </c>
      <c r="P23" s="700"/>
      <c r="Q23" s="700"/>
      <c r="R23" s="700"/>
      <c r="S23" s="700"/>
      <c r="T23" s="700"/>
      <c r="U23" s="700"/>
      <c r="V23" s="701"/>
      <c r="W23" s="517"/>
      <c r="X23" s="533" t="str">
        <f>IF(M23="OK",BK9,"")</f>
        <v/>
      </c>
      <c r="Y23" s="534" t="str">
        <f>IF(M23="OK",BK10,"")</f>
        <v/>
      </c>
      <c r="Z23" s="534" t="str">
        <f>IF(M23="OK",BK11,"")</f>
        <v/>
      </c>
      <c r="AA23" s="554" t="str">
        <f>IF(M23="OK",BK12,"")</f>
        <v/>
      </c>
      <c r="AB23" s="398">
        <v>6</v>
      </c>
      <c r="AC23" s="258">
        <f>IF(AF10&lt;&gt;" ",AF10," ")</f>
        <v>2</v>
      </c>
      <c r="AD23" s="259">
        <f>IF(AF12&lt;&gt;" ",AF12," ")</f>
        <v>4</v>
      </c>
      <c r="AE23" s="275" t="str">
        <f t="shared" si="5"/>
        <v xml:space="preserve"> </v>
      </c>
      <c r="AF23" s="261">
        <f t="shared" si="6"/>
        <v>0</v>
      </c>
      <c r="AG23" s="262">
        <f t="shared" si="7"/>
        <v>0</v>
      </c>
      <c r="AH23" s="259">
        <f t="shared" si="8"/>
        <v>0</v>
      </c>
      <c r="AI23" s="262">
        <f t="shared" si="9"/>
        <v>0</v>
      </c>
      <c r="AJ23" s="263">
        <f t="shared" si="10"/>
        <v>0</v>
      </c>
      <c r="AK23" s="262">
        <f t="shared" si="11"/>
        <v>0</v>
      </c>
      <c r="AL23" s="263">
        <f t="shared" si="12"/>
        <v>0</v>
      </c>
      <c r="AM23" s="262">
        <f t="shared" si="13"/>
        <v>0</v>
      </c>
      <c r="AN23" s="263">
        <f t="shared" si="14"/>
        <v>0</v>
      </c>
      <c r="AO23" s="264">
        <f t="shared" si="15"/>
        <v>0</v>
      </c>
      <c r="AP23" s="276"/>
      <c r="AQ23" s="277">
        <f>IF(BI23&gt;0,1,0)</f>
        <v>0</v>
      </c>
      <c r="AR23" s="281"/>
      <c r="AS23" s="299">
        <f>IF(BI23&lt;0,1,0)</f>
        <v>0</v>
      </c>
      <c r="AT23" s="278"/>
      <c r="AU23" s="229"/>
      <c r="AV23" s="213"/>
      <c r="AW23" s="213"/>
      <c r="AX23" s="213"/>
      <c r="AY23" s="279"/>
      <c r="AZ23" s="280">
        <f>IF(BI23&gt;0,1,0)</f>
        <v>0</v>
      </c>
      <c r="BB23" s="300">
        <f>IF(BI23&lt;0,1,0)</f>
        <v>0</v>
      </c>
      <c r="BC23" s="216">
        <f t="shared" si="16"/>
        <v>0</v>
      </c>
      <c r="BD23" s="216">
        <f t="shared" si="17"/>
        <v>0</v>
      </c>
      <c r="BE23" s="216">
        <f t="shared" si="18"/>
        <v>0</v>
      </c>
      <c r="BF23" s="216">
        <f t="shared" si="19"/>
        <v>0</v>
      </c>
      <c r="BG23" s="216">
        <f t="shared" si="20"/>
        <v>0</v>
      </c>
      <c r="BH23" s="216" t="str">
        <f t="shared" si="21"/>
        <v>M</v>
      </c>
      <c r="BI23" s="216">
        <f t="shared" si="22"/>
        <v>0</v>
      </c>
      <c r="BJ23" s="216"/>
      <c r="BK23" s="216"/>
      <c r="BL23" s="216" t="e">
        <f t="shared" si="23"/>
        <v>#VALUE!</v>
      </c>
      <c r="BM23" s="216">
        <f t="shared" si="24"/>
        <v>0</v>
      </c>
      <c r="BN23" s="216"/>
      <c r="BO23" s="257"/>
      <c r="BQ23" s="200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46"/>
      <c r="CE23" s="246"/>
      <c r="CF23" s="226">
        <f t="shared" si="3"/>
        <v>0</v>
      </c>
      <c r="CG23" s="219">
        <f t="shared" si="4"/>
        <v>0</v>
      </c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29"/>
      <c r="CT23" s="229"/>
      <c r="CU23" s="229"/>
      <c r="CV23" s="229"/>
      <c r="CW23" s="229"/>
      <c r="CX23" s="229"/>
      <c r="CY23" s="226"/>
      <c r="CZ23" s="246"/>
      <c r="DA23" s="229"/>
      <c r="DB23" s="229"/>
      <c r="DC23" s="229"/>
      <c r="DD23" s="229"/>
      <c r="DE23" s="229"/>
      <c r="DF23" s="246"/>
      <c r="DG23" s="229"/>
      <c r="DH23" s="229"/>
      <c r="DI23" s="229"/>
      <c r="DJ23" s="229"/>
      <c r="DK23" s="229"/>
      <c r="DL23" s="229"/>
      <c r="DM23" s="246"/>
      <c r="DN23" s="229"/>
      <c r="DO23" s="229"/>
      <c r="DP23" s="229"/>
      <c r="DQ23" s="229"/>
      <c r="DR23" s="229"/>
      <c r="DS23" s="229"/>
      <c r="DT23" s="225"/>
      <c r="DU23" s="226"/>
      <c r="DV23" s="213"/>
      <c r="DW23" s="225"/>
      <c r="DX23" s="226"/>
      <c r="DY23" s="226"/>
      <c r="DZ23" s="225"/>
      <c r="EA23" s="225"/>
      <c r="EB23" s="226" t="e">
        <f>IF(EG18&gt;0,DZ18/EG18,"???")</f>
        <v>#VALUE!</v>
      </c>
      <c r="EC23" s="226" t="e">
        <f>IF(EG19&gt;0,DZ19/EG19,"???")</f>
        <v>#VALUE!</v>
      </c>
      <c r="ED23" s="226" t="e">
        <f>IF(EG20&gt;0,DZ20/EG20,"???")</f>
        <v>#VALUE!</v>
      </c>
      <c r="EE23" s="226" t="e">
        <f>IF(EG21&gt;0,DZ21/EG21,"???")</f>
        <v>#VALUE!</v>
      </c>
      <c r="EF23" s="226" t="str">
        <f>IF(EG22&gt;0,DZ22/EG22,"???")</f>
        <v>???</v>
      </c>
      <c r="EG23" s="226"/>
      <c r="EH23" s="246"/>
      <c r="EI23" s="229"/>
      <c r="EJ23" s="229"/>
      <c r="EK23" s="229"/>
      <c r="EL23" s="229"/>
      <c r="EM23" s="229"/>
      <c r="EN23" s="226">
        <f>SUM(EI23:EM23)</f>
        <v>0</v>
      </c>
      <c r="EO23" s="246"/>
      <c r="EP23" s="225" t="e">
        <f>IF(EU18&gt;0,EN18/EU18,"???")</f>
        <v>#VALUE!</v>
      </c>
      <c r="EQ23" s="225" t="e">
        <f>IF(EU19&gt;0,EN19/EU19,"???")</f>
        <v>#VALUE!</v>
      </c>
      <c r="ER23" s="225" t="e">
        <f>IF(EU20&gt;0,EN20/EU20,"???")</f>
        <v>#VALUE!</v>
      </c>
      <c r="ES23" s="225" t="e">
        <f>IF(EU21&gt;0,EN21/EU21,"???")</f>
        <v>#VALUE!</v>
      </c>
      <c r="ET23" s="225" t="str">
        <f>IF(EU22&gt;0,EN22/EU22,"???")</f>
        <v>???</v>
      </c>
      <c r="EU23" s="226"/>
      <c r="EV23" s="246"/>
      <c r="EW23" s="229"/>
      <c r="EX23" s="229"/>
      <c r="EY23" s="229"/>
      <c r="EZ23" s="229"/>
      <c r="FA23" s="229"/>
      <c r="FB23" s="301" t="e">
        <f>SUM(FB18:FB22)</f>
        <v>#VALUE!</v>
      </c>
      <c r="FC23" s="246"/>
      <c r="FD23" s="229"/>
      <c r="FF23" s="229"/>
      <c r="FG23" s="229"/>
      <c r="FH23" s="229"/>
      <c r="FI23" s="301" t="e">
        <f>SUM(FI18:FI22)</f>
        <v>#VALUE!</v>
      </c>
      <c r="FJ23" s="213"/>
      <c r="FK23" s="213"/>
      <c r="FL23" s="213"/>
      <c r="FM23" s="213"/>
    </row>
    <row r="24" spans="1:169" ht="27.95" customHeight="1" thickBot="1" x14ac:dyDescent="0.25">
      <c r="AA24" s="390"/>
      <c r="AC24" s="273">
        <f>IF(AF9&lt;&gt;" ",AF9," ")</f>
        <v>1</v>
      </c>
      <c r="AD24" s="274">
        <f>IF(AF10&lt;&gt;" ",AF10," ")</f>
        <v>2</v>
      </c>
      <c r="AE24" s="275" t="str">
        <f t="shared" si="5"/>
        <v xml:space="preserve"> </v>
      </c>
      <c r="AF24" s="261">
        <f t="shared" si="6"/>
        <v>0</v>
      </c>
      <c r="AG24" s="262">
        <f t="shared" si="7"/>
        <v>0</v>
      </c>
      <c r="AH24" s="259">
        <f t="shared" si="8"/>
        <v>0</v>
      </c>
      <c r="AI24" s="262">
        <f t="shared" si="9"/>
        <v>0</v>
      </c>
      <c r="AJ24" s="263">
        <f t="shared" si="10"/>
        <v>0</v>
      </c>
      <c r="AK24" s="262">
        <f t="shared" si="11"/>
        <v>0</v>
      </c>
      <c r="AL24" s="263">
        <f t="shared" si="12"/>
        <v>0</v>
      </c>
      <c r="AM24" s="262">
        <f t="shared" si="13"/>
        <v>0</v>
      </c>
      <c r="AN24" s="263">
        <f t="shared" si="14"/>
        <v>0</v>
      </c>
      <c r="AO24" s="264">
        <f t="shared" si="15"/>
        <v>0</v>
      </c>
      <c r="AP24" s="288">
        <f>IF(BI24&gt;0,1,0)</f>
        <v>0</v>
      </c>
      <c r="AQ24" s="277">
        <f>IF(BI24&lt;0,1,0)</f>
        <v>0</v>
      </c>
      <c r="AR24" s="302"/>
      <c r="AT24" s="278"/>
      <c r="AU24" s="229"/>
      <c r="AV24" s="213"/>
      <c r="AW24" s="213"/>
      <c r="AX24" s="213"/>
      <c r="AY24" s="292">
        <f>IF(BI24&gt;0,1,0)</f>
        <v>0</v>
      </c>
      <c r="AZ24" s="280">
        <f>IF(BI24&lt;0,1,0)</f>
        <v>0</v>
      </c>
      <c r="BA24" s="293"/>
      <c r="BB24" s="303"/>
      <c r="BC24" s="216">
        <f t="shared" si="16"/>
        <v>0</v>
      </c>
      <c r="BD24" s="216">
        <f t="shared" si="17"/>
        <v>0</v>
      </c>
      <c r="BE24" s="216">
        <f t="shared" si="18"/>
        <v>0</v>
      </c>
      <c r="BF24" s="216">
        <f t="shared" si="19"/>
        <v>0</v>
      </c>
      <c r="BG24" s="216">
        <f t="shared" si="20"/>
        <v>0</v>
      </c>
      <c r="BH24" s="216" t="str">
        <f t="shared" si="21"/>
        <v>M</v>
      </c>
      <c r="BI24" s="216">
        <f t="shared" si="22"/>
        <v>0</v>
      </c>
      <c r="BJ24" s="216"/>
      <c r="BK24" s="216"/>
      <c r="BL24" s="216" t="e">
        <f t="shared" si="23"/>
        <v>#VALUE!</v>
      </c>
      <c r="BM24" s="216">
        <f t="shared" si="24"/>
        <v>0</v>
      </c>
      <c r="BN24" s="216"/>
      <c r="BO24" s="257"/>
      <c r="BQ24" s="200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6">
        <f t="shared" si="3"/>
        <v>0</v>
      </c>
      <c r="CG24" s="219">
        <f t="shared" si="4"/>
        <v>0</v>
      </c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26"/>
      <c r="CZ24" s="246"/>
      <c r="DA24" s="229"/>
      <c r="DB24" s="229"/>
      <c r="DC24" s="229"/>
      <c r="DD24" s="229"/>
      <c r="DE24" s="229"/>
      <c r="DF24" s="229"/>
      <c r="DG24" s="229"/>
      <c r="DH24" s="246"/>
      <c r="DI24" s="229"/>
      <c r="DJ24" s="229"/>
      <c r="DK24" s="229"/>
      <c r="DL24" s="229"/>
      <c r="DM24" s="246"/>
      <c r="DN24" s="229"/>
      <c r="DO24" s="229"/>
      <c r="DP24" s="229"/>
      <c r="DQ24" s="229"/>
      <c r="DR24" s="229"/>
      <c r="DS24" s="229"/>
      <c r="DT24" s="225"/>
      <c r="DU24" s="226"/>
      <c r="DV24" s="226"/>
      <c r="DW24" s="226"/>
      <c r="DX24" s="226"/>
      <c r="DY24" s="226"/>
      <c r="DZ24" s="229"/>
      <c r="EA24" s="225"/>
      <c r="EH24" s="246"/>
      <c r="EI24" s="246"/>
      <c r="EJ24" s="246"/>
      <c r="EK24" s="246"/>
      <c r="EL24" s="246"/>
      <c r="EM24" s="246"/>
      <c r="EN24" s="226">
        <f>SUM(EI24:EM24)</f>
        <v>0</v>
      </c>
      <c r="EO24" s="213"/>
      <c r="EP24" s="213"/>
      <c r="EQ24" s="213"/>
      <c r="ER24" s="213"/>
      <c r="ES24" s="213"/>
      <c r="ET24" s="213"/>
      <c r="EU24" s="213"/>
      <c r="EV24" s="246"/>
      <c r="EW24" s="229"/>
      <c r="EX24" s="229"/>
      <c r="EY24" s="226"/>
      <c r="EZ24" s="229"/>
      <c r="FA24" s="229"/>
      <c r="FB24" s="229"/>
      <c r="FC24" s="246"/>
      <c r="FD24" s="229"/>
      <c r="FE24" s="225"/>
      <c r="FF24" s="229"/>
      <c r="FG24" s="229"/>
      <c r="FH24" s="229"/>
      <c r="FI24" s="229"/>
      <c r="FJ24" s="213"/>
      <c r="FK24" s="213"/>
      <c r="FL24" s="213"/>
      <c r="FM24" s="213"/>
    </row>
    <row r="25" spans="1:169" ht="27.95" customHeight="1" thickBot="1" x14ac:dyDescent="0.25">
      <c r="A25" s="706" t="s">
        <v>230</v>
      </c>
      <c r="B25" s="707"/>
      <c r="C25" s="726" t="str">
        <f>IF($AB22&lt;6,"",IF($X23=1,C9,IF($Y23=1,C10,IF($Z23=1,C11,IF($AA23=1,C12)))))</f>
        <v/>
      </c>
      <c r="D25" s="727"/>
      <c r="E25" s="661" t="str">
        <f>IF(C25="","",VLOOKUP(C25,liste!$A$9:$G$145,2,FALSE))</f>
        <v/>
      </c>
      <c r="F25" s="662"/>
      <c r="G25" s="662"/>
      <c r="H25" s="662"/>
      <c r="I25" s="663"/>
      <c r="J25" s="546" t="str">
        <f>IF(C25="","",VLOOKUP(C25,liste!$A$9:$G$145,4,FALSE))</f>
        <v/>
      </c>
      <c r="K25" s="661" t="str">
        <f>IF(C25="","",VLOOKUP(C25,liste!$A$9:$G$145,3,FALSE))</f>
        <v/>
      </c>
      <c r="L25" s="662" t="e">
        <v>#REF!</v>
      </c>
      <c r="M25" s="662" t="e">
        <v>#N/A</v>
      </c>
      <c r="N25" s="663" t="e">
        <v>#REF!</v>
      </c>
      <c r="O25" s="397"/>
      <c r="P25" s="702" t="s">
        <v>231</v>
      </c>
      <c r="Q25" s="702"/>
      <c r="R25" s="702"/>
      <c r="AA25" s="390"/>
      <c r="AC25" s="273">
        <f>IF(AF11&lt;&gt;" ",AF11," ")</f>
        <v>3</v>
      </c>
      <c r="AD25" s="274">
        <f>IF(AF12&lt;&gt;" ",AF12," ")</f>
        <v>4</v>
      </c>
      <c r="AE25" s="275" t="str">
        <f t="shared" si="5"/>
        <v xml:space="preserve"> </v>
      </c>
      <c r="AF25" s="261">
        <f t="shared" si="6"/>
        <v>0</v>
      </c>
      <c r="AG25" s="262">
        <f t="shared" si="7"/>
        <v>0</v>
      </c>
      <c r="AH25" s="259">
        <f t="shared" si="8"/>
        <v>0</v>
      </c>
      <c r="AI25" s="262">
        <f t="shared" si="9"/>
        <v>0</v>
      </c>
      <c r="AJ25" s="263">
        <f t="shared" si="10"/>
        <v>0</v>
      </c>
      <c r="AK25" s="262">
        <f t="shared" si="11"/>
        <v>0</v>
      </c>
      <c r="AL25" s="263">
        <f t="shared" si="12"/>
        <v>0</v>
      </c>
      <c r="AM25" s="262">
        <f t="shared" si="13"/>
        <v>0</v>
      </c>
      <c r="AN25" s="263">
        <f t="shared" si="14"/>
        <v>0</v>
      </c>
      <c r="AO25" s="264">
        <f t="shared" si="15"/>
        <v>0</v>
      </c>
      <c r="AP25" s="276"/>
      <c r="AR25" s="277">
        <f>IF(BI25&gt;0,1,0)</f>
        <v>0</v>
      </c>
      <c r="AS25" s="290">
        <f>IF(BI25&lt;0,1,0)</f>
        <v>0</v>
      </c>
      <c r="AT25" s="267"/>
      <c r="AU25" s="229"/>
      <c r="AV25" s="213"/>
      <c r="AW25" s="213"/>
      <c r="AX25" s="213"/>
      <c r="AY25" s="304"/>
      <c r="AZ25" s="305"/>
      <c r="BA25" s="306">
        <f>IF(BI25&gt;0,1,0)</f>
        <v>0</v>
      </c>
      <c r="BB25" s="306">
        <f>IF(BI25&lt;0,1,0)</f>
        <v>0</v>
      </c>
      <c r="BC25" s="307">
        <f t="shared" si="16"/>
        <v>0</v>
      </c>
      <c r="BD25" s="307">
        <f t="shared" si="17"/>
        <v>0</v>
      </c>
      <c r="BE25" s="307">
        <f t="shared" si="18"/>
        <v>0</v>
      </c>
      <c r="BF25" s="307">
        <f t="shared" si="19"/>
        <v>0</v>
      </c>
      <c r="BG25" s="307">
        <f t="shared" si="20"/>
        <v>0</v>
      </c>
      <c r="BH25" s="307" t="str">
        <f t="shared" si="21"/>
        <v>M</v>
      </c>
      <c r="BI25" s="307">
        <f t="shared" si="22"/>
        <v>0</v>
      </c>
      <c r="BJ25" s="307"/>
      <c r="BK25" s="307"/>
      <c r="BL25" s="307" t="e">
        <f t="shared" si="23"/>
        <v>#VALUE!</v>
      </c>
      <c r="BM25" s="307">
        <f t="shared" si="24"/>
        <v>0</v>
      </c>
      <c r="BN25" s="307"/>
      <c r="BO25" s="308"/>
      <c r="BQ25" s="200"/>
      <c r="BR25" s="225"/>
      <c r="BS25" s="225">
        <f t="shared" si="2"/>
        <v>0</v>
      </c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6"/>
      <c r="DB25" s="226"/>
      <c r="DC25" s="226"/>
      <c r="DD25" s="226"/>
      <c r="DE25" s="226"/>
      <c r="DF25" s="226"/>
      <c r="DG25" s="225"/>
      <c r="DH25" s="225"/>
      <c r="DI25" s="226"/>
      <c r="DJ25" s="226"/>
      <c r="DK25" s="226"/>
      <c r="DL25" s="226"/>
      <c r="DM25" s="226"/>
      <c r="DN25" s="226"/>
      <c r="DO25" s="225"/>
      <c r="DP25" s="225"/>
      <c r="DQ25" s="226"/>
      <c r="DR25" s="226"/>
      <c r="DS25" s="226"/>
      <c r="DT25" s="213"/>
      <c r="DU25" s="213"/>
      <c r="DV25" s="213"/>
      <c r="DW25" s="213"/>
      <c r="DX25" s="213"/>
      <c r="DY25" s="213"/>
      <c r="DZ25" s="213"/>
      <c r="EA25" s="225"/>
      <c r="EB25" s="213"/>
      <c r="EC25" s="213"/>
      <c r="ED25" s="213"/>
      <c r="EE25" s="213"/>
      <c r="EF25" s="213"/>
      <c r="EG25" s="229"/>
      <c r="EH25" s="225"/>
      <c r="EI25" s="225"/>
      <c r="EJ25" s="225"/>
      <c r="EK25" s="225"/>
      <c r="EL25" s="225"/>
      <c r="EM25" s="225"/>
      <c r="EN25" s="225"/>
      <c r="EO25" s="213"/>
      <c r="EP25" s="213"/>
      <c r="EQ25" s="213"/>
      <c r="ER25" s="213"/>
      <c r="ES25" s="213"/>
      <c r="ET25" s="213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F25" s="225"/>
      <c r="FG25" s="225"/>
      <c r="FH25" s="225"/>
      <c r="FI25" s="225"/>
      <c r="FJ25" s="213"/>
      <c r="FK25" s="213"/>
      <c r="FL25" s="213"/>
      <c r="FM25" s="213"/>
    </row>
    <row r="26" spans="1:169" ht="27.95" customHeight="1" thickTop="1" thickBot="1" x14ac:dyDescent="0.25">
      <c r="A26" s="732" t="s">
        <v>232</v>
      </c>
      <c r="B26" s="733"/>
      <c r="C26" s="734" t="str">
        <f>IF($AB22&lt;6,"",IF($X23=2,C9,IF($Y23=2,C10,IF($Z23=2,C11,IF($AA23=2,C12)))))</f>
        <v/>
      </c>
      <c r="D26" s="735"/>
      <c r="E26" s="664" t="str">
        <f>IF(C26="","",VLOOKUP(C26,liste!$A$9:$G$145,2,FALSE))</f>
        <v/>
      </c>
      <c r="F26" s="665"/>
      <c r="G26" s="665"/>
      <c r="H26" s="665"/>
      <c r="I26" s="666"/>
      <c r="J26" s="547" t="str">
        <f>IF(C26="","",VLOOKUP(C26,liste!$A$9:$G$145,4,FALSE))</f>
        <v/>
      </c>
      <c r="K26" s="664" t="str">
        <f>IF(C26="","",VLOOKUP(C26,liste!$A$9:$G$145,3,FALSE))</f>
        <v/>
      </c>
      <c r="L26" s="665" t="e">
        <v>#REF!</v>
      </c>
      <c r="M26" s="665" t="e">
        <v>#N/A</v>
      </c>
      <c r="N26" s="666" t="e">
        <v>#REF!</v>
      </c>
      <c r="P26" s="731">
        <f>liste!$B$145</f>
        <v>0</v>
      </c>
      <c r="Q26" s="731"/>
      <c r="R26" s="731"/>
      <c r="S26" s="731"/>
      <c r="T26" s="731"/>
      <c r="U26" s="731"/>
      <c r="AA26" s="390"/>
      <c r="AC26" s="309"/>
      <c r="AD26" s="310"/>
      <c r="AE26" s="310"/>
      <c r="AF26" s="311"/>
      <c r="AG26" s="311"/>
      <c r="AH26" s="311"/>
      <c r="AI26" s="311"/>
      <c r="AJ26" s="312"/>
      <c r="AK26" s="312"/>
      <c r="AL26" s="313"/>
      <c r="AM26" s="312" t="s">
        <v>71</v>
      </c>
      <c r="AN26" s="311"/>
      <c r="AO26" s="314"/>
      <c r="AP26" s="315">
        <f>SUM(AP20:AP25)</f>
        <v>0</v>
      </c>
      <c r="AQ26" s="316">
        <f>SUM(AQ20:AQ25)</f>
        <v>0</v>
      </c>
      <c r="AR26" s="316">
        <f>SUM(AR20:AR25)</f>
        <v>0</v>
      </c>
      <c r="AS26" s="317">
        <f>SUM(AS20:AS25)</f>
        <v>0</v>
      </c>
      <c r="AT26" s="318">
        <f>SUM(AT20:AT25)</f>
        <v>0</v>
      </c>
      <c r="AU26" s="229"/>
      <c r="AV26" s="213"/>
      <c r="AW26" s="213"/>
      <c r="AX26" s="213"/>
      <c r="AY26" s="301"/>
      <c r="AZ26" s="301"/>
      <c r="BA26" s="301"/>
      <c r="BB26" s="301"/>
      <c r="BC26" s="301"/>
      <c r="BD26" s="229"/>
      <c r="BE26" s="226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5"/>
      <c r="BS26" s="225">
        <f t="shared" si="2"/>
        <v>0</v>
      </c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6"/>
      <c r="DB26" s="226"/>
      <c r="DC26" s="226"/>
      <c r="DD26" s="226"/>
      <c r="DE26" s="226"/>
      <c r="DF26" s="226"/>
      <c r="DG26" s="225"/>
      <c r="DH26" s="225"/>
      <c r="DI26" s="226"/>
      <c r="DJ26" s="226"/>
      <c r="DK26" s="226"/>
      <c r="DL26" s="226"/>
      <c r="DM26" s="226"/>
      <c r="DN26" s="226"/>
      <c r="DO26" s="225"/>
      <c r="DP26" s="225"/>
      <c r="DQ26" s="226"/>
      <c r="DR26" s="226"/>
      <c r="DS26" s="226"/>
      <c r="DT26" s="226"/>
      <c r="DU26" s="226"/>
      <c r="DV26" s="226"/>
      <c r="DW26" s="225"/>
      <c r="DX26" s="225"/>
      <c r="DY26" s="226"/>
      <c r="DZ26" s="226"/>
      <c r="EA26" s="213"/>
      <c r="EB26" s="226"/>
      <c r="EC26" s="226"/>
      <c r="ED26" s="226"/>
      <c r="EE26" s="225">
        <f>SUM(DY26:ED26)</f>
        <v>0</v>
      </c>
      <c r="EF26" s="225"/>
      <c r="EG26" s="213"/>
      <c r="EH26" s="225"/>
      <c r="EI26" s="225"/>
      <c r="EJ26" s="225"/>
      <c r="EK26" s="225"/>
      <c r="EL26" s="225"/>
      <c r="EM26" s="225"/>
      <c r="EN26" s="225"/>
      <c r="EO26" s="213"/>
      <c r="EP26" s="213"/>
      <c r="EQ26" s="213"/>
      <c r="ER26" s="213"/>
      <c r="ES26" s="213"/>
      <c r="ET26" s="213"/>
      <c r="EU26" s="225"/>
      <c r="EV26" s="225"/>
      <c r="EW26" s="213"/>
      <c r="EX26" s="213"/>
      <c r="EY26" s="213"/>
      <c r="EZ26" s="213"/>
      <c r="FA26" s="213"/>
      <c r="FB26" s="213"/>
      <c r="FC26" s="225"/>
      <c r="FD26" s="225"/>
      <c r="FE26" s="225"/>
      <c r="FF26" s="225"/>
      <c r="FG26" s="225"/>
      <c r="FH26" s="225"/>
      <c r="FI26" s="225"/>
      <c r="FJ26" s="213"/>
      <c r="FK26" s="213"/>
      <c r="FL26" s="213"/>
      <c r="FM26" s="213"/>
    </row>
    <row r="27" spans="1:169" ht="27.95" customHeight="1" thickTop="1" x14ac:dyDescent="0.2">
      <c r="A27" s="732" t="s">
        <v>233</v>
      </c>
      <c r="B27" s="733"/>
      <c r="C27" s="734" t="str">
        <f>IF($AB22&lt;6,"",IF($X23=3,C9,IF($Y23=3,C10,IF($Z23=3,C11,IF($AA23=3,C12)))))</f>
        <v/>
      </c>
      <c r="D27" s="735"/>
      <c r="E27" s="664" t="str">
        <f>IF(C27="","",VLOOKUP(C27,liste!$A$9:$G$145,2,FALSE))</f>
        <v/>
      </c>
      <c r="F27" s="665"/>
      <c r="G27" s="665"/>
      <c r="H27" s="665"/>
      <c r="I27" s="666"/>
      <c r="J27" s="547" t="str">
        <f>IF(C27="","",VLOOKUP(C27,liste!$A$9:$G$145,4,FALSE))</f>
        <v/>
      </c>
      <c r="K27" s="664" t="str">
        <f>IF(C27="","",VLOOKUP(C27,liste!$A$9:$G$145,3,FALSE))</f>
        <v/>
      </c>
      <c r="L27" s="665" t="e">
        <v>#REF!</v>
      </c>
      <c r="M27" s="665" t="e">
        <v>#N/A</v>
      </c>
      <c r="N27" s="666" t="e">
        <v>#REF!</v>
      </c>
      <c r="AA27" s="390"/>
      <c r="AU27" s="229"/>
      <c r="AV27" s="213"/>
      <c r="AW27" s="213"/>
      <c r="AX27" s="213"/>
      <c r="AY27" s="301"/>
      <c r="AZ27" s="301"/>
      <c r="BA27" s="301"/>
      <c r="BB27" s="301"/>
      <c r="BC27" s="301"/>
      <c r="BD27" s="229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6"/>
      <c r="DB27" s="226"/>
      <c r="DC27" s="226"/>
      <c r="DD27" s="226"/>
      <c r="DE27" s="226"/>
      <c r="DF27" s="226"/>
      <c r="DG27" s="225"/>
      <c r="DH27" s="225"/>
      <c r="DI27" s="226"/>
      <c r="DJ27" s="226"/>
      <c r="DK27" s="226"/>
      <c r="DL27" s="226"/>
      <c r="DM27" s="226"/>
      <c r="DN27" s="226"/>
      <c r="DO27" s="225"/>
      <c r="DP27" s="225"/>
      <c r="DQ27" s="226"/>
      <c r="DR27" s="226"/>
      <c r="DS27" s="226"/>
      <c r="DT27" s="226"/>
      <c r="DU27" s="226"/>
      <c r="DV27" s="226"/>
      <c r="DW27" s="225"/>
      <c r="DX27" s="225"/>
      <c r="DY27" s="226"/>
      <c r="DZ27" s="226"/>
      <c r="EA27" s="226"/>
      <c r="EB27" s="226"/>
      <c r="EC27" s="226"/>
      <c r="ED27" s="226"/>
      <c r="EE27" s="225">
        <f>SUM(DY27:ED27)</f>
        <v>0</v>
      </c>
      <c r="EF27" s="225"/>
      <c r="EG27" s="218"/>
      <c r="EH27" s="218"/>
      <c r="EI27" s="218"/>
      <c r="EJ27" s="218"/>
      <c r="EK27" s="218"/>
      <c r="EL27" s="218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13"/>
      <c r="FK27" s="213"/>
      <c r="FL27" s="213"/>
      <c r="FM27" s="213"/>
    </row>
    <row r="28" spans="1:169" ht="21.95" customHeight="1" thickBot="1" x14ac:dyDescent="0.25">
      <c r="A28" s="716" t="s">
        <v>234</v>
      </c>
      <c r="B28" s="717"/>
      <c r="C28" s="739" t="str">
        <f>IF($AB22&lt;6,"",IF($X23=4,C9,IF($Y23=4,C10,IF($Z23=4,C11,IF(AA23=4,C12)))))</f>
        <v/>
      </c>
      <c r="D28" s="740"/>
      <c r="E28" s="658" t="str">
        <f>IF(C28="","",VLOOKUP(C28,liste!$A$9:$G$145,2,FALSE))</f>
        <v/>
      </c>
      <c r="F28" s="659"/>
      <c r="G28" s="659"/>
      <c r="H28" s="659"/>
      <c r="I28" s="660"/>
      <c r="J28" s="548" t="str">
        <f>IF(C28="","",VLOOKUP(C28,liste!$A$9:$G$145,4,FALSE))</f>
        <v/>
      </c>
      <c r="K28" s="658" t="str">
        <f>IF(C28="","",VLOOKUP(C28,liste!$A$9:$G$145,3,FALSE))</f>
        <v/>
      </c>
      <c r="L28" s="659" t="e">
        <v>#REF!</v>
      </c>
      <c r="M28" s="659" t="e">
        <v>#N/A</v>
      </c>
      <c r="N28" s="660" t="e">
        <v>#REF!</v>
      </c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U28" s="229"/>
      <c r="AV28" s="213"/>
      <c r="AW28" s="213"/>
      <c r="AX28" s="213"/>
      <c r="AY28" s="301"/>
      <c r="AZ28" s="301"/>
      <c r="BA28" s="301"/>
      <c r="BB28" s="301"/>
      <c r="BC28" s="301"/>
      <c r="BD28" s="229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18"/>
      <c r="CG28" s="218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 t="s">
        <v>5</v>
      </c>
      <c r="CT28" s="225" t="s">
        <v>5</v>
      </c>
      <c r="CU28" s="225"/>
      <c r="CV28" s="225"/>
      <c r="CW28" s="225" t="s">
        <v>5</v>
      </c>
      <c r="CX28" s="225" t="s">
        <v>5</v>
      </c>
      <c r="CY28" s="225"/>
      <c r="CZ28" s="225"/>
      <c r="DA28" s="226" t="s">
        <v>5</v>
      </c>
      <c r="DB28" s="226" t="s">
        <v>5</v>
      </c>
      <c r="DC28" s="226"/>
      <c r="DD28" s="226"/>
      <c r="DE28" s="226" t="s">
        <v>5</v>
      </c>
      <c r="DF28" s="226" t="s">
        <v>5</v>
      </c>
      <c r="DG28" s="225"/>
      <c r="DH28" s="225"/>
      <c r="DI28" s="226" t="s">
        <v>5</v>
      </c>
      <c r="DJ28" s="226" t="s">
        <v>5</v>
      </c>
      <c r="DK28" s="226"/>
      <c r="DL28" s="226"/>
      <c r="DM28" s="226" t="s">
        <v>5</v>
      </c>
      <c r="DN28" s="226" t="s">
        <v>5</v>
      </c>
      <c r="DO28" s="225"/>
      <c r="DP28" s="225"/>
      <c r="DQ28" s="226" t="s">
        <v>5</v>
      </c>
      <c r="DR28" s="226" t="s">
        <v>5</v>
      </c>
      <c r="DS28" s="226"/>
      <c r="DT28" s="226"/>
      <c r="DU28" s="226" t="s">
        <v>5</v>
      </c>
      <c r="DV28" s="226" t="s">
        <v>5</v>
      </c>
      <c r="DW28" s="225"/>
      <c r="DX28" s="225"/>
      <c r="DY28" s="226" t="s">
        <v>5</v>
      </c>
      <c r="DZ28" s="226" t="s">
        <v>70</v>
      </c>
      <c r="EA28" s="226" t="s">
        <v>5</v>
      </c>
      <c r="EB28" s="226"/>
      <c r="EC28" s="226"/>
      <c r="ED28" s="226" t="s">
        <v>5</v>
      </c>
      <c r="EE28" s="225">
        <f>SUM(DY28:ED28)</f>
        <v>0</v>
      </c>
      <c r="EF28" s="225"/>
      <c r="EG28" s="225"/>
      <c r="EH28" s="225"/>
      <c r="EI28" s="225"/>
      <c r="EJ28" s="225"/>
      <c r="EK28" s="225"/>
      <c r="EL28" s="225"/>
      <c r="EM28" s="225"/>
      <c r="EN28" s="225"/>
      <c r="EO28" s="225" t="s">
        <v>5</v>
      </c>
      <c r="EP28" s="225" t="s">
        <v>70</v>
      </c>
      <c r="EQ28" s="225" t="s">
        <v>5</v>
      </c>
      <c r="ER28" s="225"/>
      <c r="ES28" s="225"/>
      <c r="ET28" s="225" t="s">
        <v>5</v>
      </c>
      <c r="EU28" s="225"/>
      <c r="EV28" s="225"/>
      <c r="EW28" s="225" t="s">
        <v>5</v>
      </c>
      <c r="EX28" s="225" t="s">
        <v>5</v>
      </c>
      <c r="EY28" s="225"/>
      <c r="EZ28" s="225"/>
      <c r="FA28" s="225" t="s">
        <v>5</v>
      </c>
      <c r="FB28" s="225" t="s">
        <v>5</v>
      </c>
      <c r="FC28" s="225"/>
      <c r="FD28" s="225"/>
      <c r="FE28" s="225"/>
      <c r="FF28" s="225"/>
      <c r="FG28" s="225"/>
      <c r="FH28" s="225"/>
      <c r="FI28" s="225"/>
      <c r="FJ28" s="213"/>
      <c r="FK28" s="213"/>
      <c r="FL28" s="213"/>
      <c r="FM28" s="213"/>
    </row>
    <row r="29" spans="1:169" ht="30" customHeight="1" x14ac:dyDescent="0.2">
      <c r="A29" s="557"/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557"/>
      <c r="Q29" s="557"/>
      <c r="R29" s="557"/>
      <c r="S29" s="557"/>
      <c r="T29" s="557"/>
      <c r="U29" s="557"/>
      <c r="V29" s="557"/>
      <c r="W29" s="557"/>
      <c r="X29" s="557"/>
      <c r="Y29" s="557"/>
      <c r="Z29" s="557"/>
      <c r="AA29" s="557"/>
      <c r="AU29" s="229"/>
      <c r="AV29" s="213"/>
      <c r="AW29" s="213"/>
      <c r="AX29" s="213"/>
      <c r="AY29" s="301"/>
      <c r="AZ29" s="301"/>
      <c r="BA29" s="301"/>
      <c r="BB29" s="301"/>
      <c r="BC29" s="301"/>
      <c r="BD29" s="229"/>
      <c r="BE29" s="226"/>
      <c r="BF29" s="226"/>
      <c r="BG29" s="226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5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18"/>
      <c r="DH29" s="225"/>
      <c r="DI29" s="226"/>
      <c r="DJ29" s="226"/>
      <c r="DK29" s="226"/>
      <c r="DL29" s="226"/>
      <c r="DM29" s="226"/>
      <c r="DN29" s="226"/>
      <c r="DO29" s="225"/>
      <c r="DP29" s="225"/>
      <c r="DQ29" s="226"/>
      <c r="DR29" s="226"/>
      <c r="DS29" s="226"/>
      <c r="DT29" s="226"/>
      <c r="DU29" s="226"/>
      <c r="DV29" s="226"/>
      <c r="DW29" s="218"/>
      <c r="DX29" s="225"/>
      <c r="DY29" s="225"/>
      <c r="DZ29" s="225"/>
      <c r="EA29" s="225"/>
      <c r="EB29" s="225"/>
      <c r="EC29" s="225"/>
      <c r="ED29" s="225"/>
      <c r="EE29" s="225">
        <f>SUM(DY29:ED29)</f>
        <v>0</v>
      </c>
      <c r="EF29" s="225"/>
      <c r="EG29" s="213"/>
      <c r="EH29" s="213"/>
      <c r="EI29" s="213"/>
      <c r="EJ29" s="213"/>
      <c r="EK29" s="213"/>
      <c r="EL29" s="213"/>
      <c r="EM29" s="218"/>
      <c r="EN29" s="225"/>
      <c r="EO29" s="225"/>
      <c r="EP29" s="225"/>
      <c r="EQ29" s="225"/>
      <c r="ER29" s="225"/>
      <c r="ES29" s="225"/>
      <c r="ET29" s="225"/>
      <c r="EU29" s="218"/>
      <c r="EV29" s="225"/>
      <c r="EW29" s="225"/>
      <c r="EX29" s="225"/>
      <c r="EY29" s="225"/>
      <c r="EZ29" s="225"/>
      <c r="FA29" s="225"/>
      <c r="FB29" s="225"/>
      <c r="FC29" s="218"/>
      <c r="FD29" s="225"/>
      <c r="FE29" s="225"/>
      <c r="FF29" s="225"/>
      <c r="FG29" s="225"/>
      <c r="FH29" s="225"/>
      <c r="FI29" s="225"/>
      <c r="FJ29" s="213"/>
      <c r="FK29" s="213"/>
      <c r="FL29" s="213"/>
      <c r="FM29" s="213"/>
    </row>
    <row r="30" spans="1:169" ht="30" customHeight="1" x14ac:dyDescent="0.2">
      <c r="A30" s="746" t="str">
        <f>$A$1</f>
        <v>Circuit Décathlon</v>
      </c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746"/>
      <c r="T30" s="746"/>
      <c r="U30" s="746"/>
      <c r="V30" s="746"/>
      <c r="W30" s="746"/>
      <c r="X30" s="746"/>
      <c r="Y30" s="746"/>
      <c r="Z30" s="746"/>
      <c r="AA30" s="746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387"/>
      <c r="AP30" s="387"/>
      <c r="AQ30" s="387"/>
    </row>
    <row r="31" spans="1:169" ht="21.95" customHeight="1" x14ac:dyDescent="0.2">
      <c r="A31" s="746"/>
      <c r="B31" s="746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6"/>
      <c r="T31" s="746"/>
      <c r="U31" s="746"/>
      <c r="V31" s="746"/>
      <c r="W31" s="746"/>
      <c r="X31" s="746"/>
      <c r="Y31" s="746"/>
      <c r="Z31" s="746"/>
      <c r="AA31" s="746"/>
      <c r="AC31" s="213"/>
      <c r="AD31" s="387"/>
      <c r="AE31" s="387"/>
      <c r="AF31" s="387"/>
      <c r="AG31" s="387"/>
      <c r="AH31" s="387"/>
      <c r="AI31" s="387"/>
      <c r="AJ31" s="387"/>
      <c r="AK31" s="387"/>
      <c r="AL31" s="387"/>
      <c r="AM31" s="387"/>
      <c r="AN31" s="387"/>
      <c r="AO31" s="387"/>
      <c r="AP31" s="387"/>
      <c r="AQ31" s="387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</row>
    <row r="32" spans="1:169" ht="21.95" customHeight="1" x14ac:dyDescent="0.2">
      <c r="A32" s="427"/>
      <c r="B32" s="388"/>
      <c r="G32" s="388"/>
      <c r="H32" s="389"/>
      <c r="I32" s="390"/>
      <c r="J32" s="390"/>
      <c r="K32" s="390"/>
      <c r="L32" s="391"/>
      <c r="M32" s="390"/>
      <c r="N32" s="390"/>
      <c r="O32" s="392"/>
      <c r="P32" s="392"/>
      <c r="Q32" s="392"/>
      <c r="R32" s="392"/>
      <c r="S32" s="392"/>
      <c r="U32" s="389"/>
      <c r="V32" s="389"/>
      <c r="AA32" s="427"/>
      <c r="AC32" s="213"/>
      <c r="AD32" s="387"/>
      <c r="AE32" s="387"/>
      <c r="AF32" s="387"/>
      <c r="AG32" s="387"/>
      <c r="AH32" s="387"/>
      <c r="AI32" s="387"/>
      <c r="AJ32" s="387"/>
      <c r="AK32" s="387"/>
      <c r="AL32" s="387"/>
      <c r="AM32" s="387"/>
      <c r="AN32" s="387"/>
      <c r="AO32" s="387"/>
      <c r="AP32" s="387"/>
      <c r="AQ32" s="387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</row>
    <row r="33" spans="1:169" ht="21.95" customHeight="1" x14ac:dyDescent="0.2">
      <c r="A33" s="394"/>
      <c r="B33" s="388"/>
      <c r="D33" s="394"/>
      <c r="E33" s="393" t="s">
        <v>6</v>
      </c>
      <c r="F33" s="680" t="str">
        <f>$F$4</f>
        <v>Parigné l'évêque</v>
      </c>
      <c r="G33" s="680"/>
      <c r="H33" s="680"/>
      <c r="I33" s="680"/>
      <c r="J33" s="680"/>
      <c r="K33" s="390"/>
      <c r="L33" s="390"/>
      <c r="M33" s="390"/>
      <c r="N33" s="392"/>
      <c r="O33" s="392"/>
      <c r="P33" s="392"/>
      <c r="Q33" s="392"/>
      <c r="R33" s="392"/>
      <c r="S33" s="393" t="s">
        <v>7</v>
      </c>
      <c r="T33" s="691">
        <f>$T$4</f>
        <v>43421</v>
      </c>
      <c r="U33" s="691"/>
      <c r="V33" s="691"/>
      <c r="W33" s="691"/>
      <c r="X33" s="691"/>
      <c r="Y33" s="691"/>
      <c r="Z33" s="395"/>
      <c r="AA33" s="390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</row>
    <row r="34" spans="1:169" ht="21.95" customHeight="1" x14ac:dyDescent="0.2">
      <c r="A34" s="394"/>
      <c r="B34" s="388"/>
      <c r="C34" s="388"/>
      <c r="D34" s="394"/>
      <c r="E34" s="394"/>
      <c r="F34" s="394"/>
      <c r="G34" s="390"/>
      <c r="H34" s="390"/>
      <c r="I34" s="390"/>
      <c r="J34" s="390"/>
      <c r="K34" s="390"/>
      <c r="L34" s="390"/>
      <c r="M34" s="390"/>
      <c r="N34" s="392"/>
      <c r="O34" s="392"/>
      <c r="P34" s="392"/>
      <c r="Q34" s="392"/>
      <c r="R34" s="392"/>
      <c r="S34" s="392"/>
      <c r="T34" s="392"/>
      <c r="U34" s="392"/>
      <c r="V34" s="390"/>
      <c r="Z34" s="390"/>
      <c r="AA34" s="390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</row>
    <row r="35" spans="1:169" ht="21.95" customHeight="1" x14ac:dyDescent="0.2">
      <c r="A35" s="427"/>
      <c r="B35" s="388"/>
      <c r="C35" s="388"/>
      <c r="D35" s="394"/>
      <c r="E35" s="393" t="s">
        <v>11</v>
      </c>
      <c r="F35" s="676" t="str">
        <f>F6</f>
        <v>FEM</v>
      </c>
      <c r="G35" s="676"/>
      <c r="H35" s="676"/>
      <c r="I35" s="676"/>
      <c r="J35" s="676"/>
      <c r="K35" s="676"/>
      <c r="L35" s="430" t="s">
        <v>2</v>
      </c>
      <c r="M35" s="558" t="s">
        <v>35</v>
      </c>
      <c r="O35" s="397" t="s">
        <v>188</v>
      </c>
      <c r="P35" s="394"/>
      <c r="Q35" s="558">
        <f>Rens!C8</f>
        <v>0</v>
      </c>
      <c r="R35" s="394"/>
      <c r="S35" s="394"/>
      <c r="T35" s="392"/>
      <c r="U35" s="397"/>
      <c r="V35" s="431" t="str">
        <f>V6</f>
        <v>SAISON</v>
      </c>
      <c r="X35" s="559"/>
      <c r="Y35" s="693" t="str">
        <f>$Y$6</f>
        <v>2018-2019</v>
      </c>
      <c r="Z35" s="693"/>
      <c r="AA35" s="430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</row>
    <row r="36" spans="1:169" ht="21.95" customHeight="1" thickBot="1" x14ac:dyDescent="0.25">
      <c r="A36" s="394"/>
      <c r="B36" s="388"/>
      <c r="C36" s="388"/>
      <c r="D36" s="388"/>
      <c r="E36" s="388"/>
      <c r="F36" s="388"/>
      <c r="G36" s="388"/>
      <c r="H36" s="390"/>
      <c r="I36" s="390"/>
      <c r="J36" s="390"/>
      <c r="K36" s="390"/>
      <c r="L36" s="390"/>
      <c r="M36" s="390"/>
      <c r="N36" s="390"/>
      <c r="O36" s="392"/>
      <c r="P36" s="392"/>
      <c r="Q36" s="392"/>
      <c r="R36" s="392"/>
      <c r="S36" s="392"/>
      <c r="T36" s="392"/>
      <c r="U36" s="392"/>
      <c r="V36" s="392"/>
      <c r="W36" s="392"/>
      <c r="X36" s="390"/>
      <c r="Y36" s="390"/>
      <c r="Z36" s="390"/>
      <c r="AA36" s="390"/>
      <c r="AC36" s="213"/>
      <c r="AD36" s="213"/>
      <c r="AE36" s="214" t="s">
        <v>58</v>
      </c>
      <c r="AF36" s="215"/>
      <c r="AG36" s="215"/>
      <c r="AH36" s="215"/>
      <c r="AI36" s="216" t="s">
        <v>22</v>
      </c>
      <c r="AJ36" s="214" t="s">
        <v>5</v>
      </c>
      <c r="AK36" s="215"/>
      <c r="AL36" s="214" t="s">
        <v>23</v>
      </c>
      <c r="AM36" s="215"/>
      <c r="AN36" s="215"/>
      <c r="AO36" s="215"/>
      <c r="AP36" s="215"/>
      <c r="AQ36" s="215" t="str">
        <f>IF(AI36&lt;&gt;" ",AI36," ")</f>
        <v>IG1</v>
      </c>
      <c r="AR36" s="215"/>
      <c r="AS36" s="217"/>
      <c r="AT36" s="218"/>
      <c r="AU36" s="218"/>
      <c r="AV36" s="218"/>
      <c r="AW36" s="218"/>
      <c r="AX36" s="218"/>
      <c r="AY36" s="218" t="s">
        <v>5</v>
      </c>
      <c r="AZ36" s="218"/>
      <c r="BA36" s="218" t="s">
        <v>24</v>
      </c>
      <c r="BB36" s="218"/>
      <c r="BC36" s="218"/>
      <c r="BD36" s="218"/>
      <c r="BE36" s="218"/>
      <c r="BF36" s="218"/>
      <c r="BG36" s="218"/>
      <c r="BH36" s="219" t="s">
        <v>10</v>
      </c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3"/>
      <c r="FK36" s="213"/>
      <c r="FL36" s="213"/>
      <c r="FM36" s="213"/>
    </row>
    <row r="37" spans="1:169" ht="24.95" customHeight="1" thickBot="1" x14ac:dyDescent="0.25">
      <c r="A37" s="430"/>
      <c r="B37" s="430"/>
      <c r="C37" s="681" t="s">
        <v>8</v>
      </c>
      <c r="D37" s="682"/>
      <c r="E37" s="683"/>
      <c r="F37" s="681" t="s">
        <v>16</v>
      </c>
      <c r="G37" s="682"/>
      <c r="H37" s="683"/>
      <c r="I37" s="681" t="s">
        <v>20</v>
      </c>
      <c r="J37" s="682"/>
      <c r="K37" s="682"/>
      <c r="L37" s="682"/>
      <c r="M37" s="682"/>
      <c r="N37" s="683"/>
      <c r="O37" s="681" t="s">
        <v>4</v>
      </c>
      <c r="P37" s="683"/>
      <c r="Q37" s="681" t="s">
        <v>12</v>
      </c>
      <c r="R37" s="682"/>
      <c r="S37" s="682"/>
      <c r="T37" s="682"/>
      <c r="U37" s="682"/>
      <c r="V37" s="682"/>
      <c r="W37" s="682"/>
      <c r="X37" s="682"/>
      <c r="Y37" s="683"/>
      <c r="Z37" s="681" t="s">
        <v>194</v>
      </c>
      <c r="AA37" s="683"/>
      <c r="AC37" s="213"/>
      <c r="AD37" s="213"/>
      <c r="AE37" s="214" t="s">
        <v>5</v>
      </c>
      <c r="AF37" s="214"/>
      <c r="AG37" s="216" t="s">
        <v>14</v>
      </c>
      <c r="AH37" s="214"/>
      <c r="AI37" s="214"/>
      <c r="AJ37" s="214"/>
      <c r="AK37" s="214"/>
      <c r="AL37" s="214" t="s">
        <v>5</v>
      </c>
      <c r="AM37" s="214"/>
      <c r="AN37" s="215"/>
      <c r="AO37" s="215"/>
      <c r="AP37" s="215"/>
      <c r="AQ37" s="215"/>
      <c r="AR37" s="215"/>
      <c r="AS37" s="217"/>
      <c r="AT37" s="218"/>
      <c r="AU37" s="218"/>
      <c r="AV37" s="218"/>
      <c r="AW37" s="218"/>
      <c r="AX37" s="218"/>
      <c r="AY37" s="218" t="s">
        <v>10</v>
      </c>
      <c r="AZ37" s="218"/>
      <c r="BA37" s="218" t="s">
        <v>25</v>
      </c>
      <c r="BB37" s="219" t="s">
        <v>26</v>
      </c>
      <c r="BC37" s="219" t="s">
        <v>27</v>
      </c>
      <c r="BD37" s="219" t="s">
        <v>28</v>
      </c>
      <c r="BE37" s="219" t="s">
        <v>29</v>
      </c>
      <c r="BF37" s="218" t="s">
        <v>30</v>
      </c>
      <c r="BG37" s="218"/>
      <c r="BH37" s="219" t="s">
        <v>31</v>
      </c>
      <c r="BI37" s="218"/>
      <c r="BJ37" s="218"/>
      <c r="BK37" s="218" t="s">
        <v>32</v>
      </c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3"/>
      <c r="FK37" s="213"/>
      <c r="FL37" s="213"/>
      <c r="FM37" s="213"/>
    </row>
    <row r="38" spans="1:169" ht="27.95" customHeight="1" x14ac:dyDescent="0.2">
      <c r="A38" s="687">
        <v>1</v>
      </c>
      <c r="B38" s="718"/>
      <c r="C38" s="742">
        <f>liste!A10</f>
        <v>2</v>
      </c>
      <c r="D38" s="743"/>
      <c r="E38" s="744"/>
      <c r="F38" s="661">
        <f>IF(C38="","",VLOOKUP(C38,liste!$A$9:$G$145,7,FALSE))</f>
        <v>7223234</v>
      </c>
      <c r="G38" s="662" t="e">
        <f>IF(F38="","",VLOOKUP(F38,liste!$A$9:$G$145,7,FALSE))</f>
        <v>#N/A</v>
      </c>
      <c r="H38" s="663" t="e">
        <f>IF(G38="","",VLOOKUP(G38,liste!$A$9:$G$145,7,FALSE))</f>
        <v>#N/A</v>
      </c>
      <c r="I38" s="684" t="str">
        <f>IF(C38="","",VLOOKUP(C38,liste!$A$9:$G$145,2,FALSE))</f>
        <v>TARROUX Lucie</v>
      </c>
      <c r="J38" s="685"/>
      <c r="K38" s="685"/>
      <c r="L38" s="685"/>
      <c r="M38" s="685"/>
      <c r="N38" s="686"/>
      <c r="O38" s="694">
        <f>IF(C38="","",VLOOKUP(C38,liste!$A$9:$G$145,4,FALSE))</f>
        <v>5</v>
      </c>
      <c r="P38" s="695" t="str">
        <f>IF(J38="","",VLOOKUP(J38,liste!$A$9:$G$145,4,FALSE))</f>
        <v/>
      </c>
      <c r="Q38" s="689" t="str">
        <f>IF(C38="","",VLOOKUP(C38,liste!$A$9:$G$145,3,FALSE))</f>
        <v>MONTFORT TT</v>
      </c>
      <c r="R38" s="696"/>
      <c r="S38" s="696"/>
      <c r="T38" s="696"/>
      <c r="U38" s="696"/>
      <c r="V38" s="696"/>
      <c r="W38" s="696"/>
      <c r="X38" s="696"/>
      <c r="Y38" s="690"/>
      <c r="Z38" s="689">
        <f>IF(C38="","",VLOOKUP(C38,liste!$A$9:$G$145,6,FALSE))</f>
        <v>500</v>
      </c>
      <c r="AA38" s="690" t="str">
        <f>IF(U38="","",VLOOKUP(U38,liste!$A$9:$G$145,4,FALSE))</f>
        <v/>
      </c>
      <c r="AB38" s="400" t="str">
        <f>"B"&amp;X52&amp;C38</f>
        <v>B2</v>
      </c>
      <c r="AC38" s="213"/>
      <c r="AD38" s="213"/>
      <c r="AE38" s="214" t="s">
        <v>33</v>
      </c>
      <c r="AF38" s="216">
        <v>1</v>
      </c>
      <c r="AG38" s="220">
        <f>C38</f>
        <v>2</v>
      </c>
      <c r="AH38" s="214" t="s">
        <v>5</v>
      </c>
      <c r="AI38" s="214" t="s">
        <v>5</v>
      </c>
      <c r="AJ38" s="214"/>
      <c r="AK38" s="214"/>
      <c r="AL38" s="214" t="s">
        <v>34</v>
      </c>
      <c r="AM38" s="214" t="e">
        <f>IF($BK$38=1,$AF$38,IF($BK$39=1,$AF$39,IF($BK$40=1,$AF$40,IF($BK$41=1,$AF$41,""))))</f>
        <v>#VALUE!</v>
      </c>
      <c r="AN38" s="215"/>
      <c r="AO38" s="221" t="e">
        <f>VLOOKUP(AM38,AF38:AG41,2)</f>
        <v>#VALUE!</v>
      </c>
      <c r="AP38" s="215"/>
      <c r="AQ38" s="215"/>
      <c r="AR38" s="215"/>
      <c r="AS38" s="217" t="s">
        <v>5</v>
      </c>
      <c r="AT38" s="218"/>
      <c r="AU38" s="218"/>
      <c r="AV38" s="222" t="e">
        <f>BH38</f>
        <v>#VALUE!</v>
      </c>
      <c r="AW38" s="218"/>
      <c r="AX38" s="218" t="s">
        <v>33</v>
      </c>
      <c r="AY38" s="218" t="e">
        <f>CF47</f>
        <v>#VALUE!</v>
      </c>
      <c r="AZ38" s="218"/>
      <c r="BA38" s="219" t="e">
        <f>IF(DE47&gt;0,CX47/DE47,IF(CX47&gt;0,CX47/1,0))</f>
        <v>#VALUE!</v>
      </c>
      <c r="BB38" s="219" t="e">
        <f>IF(DS47&gt;0,IF(BA38=0,0,DL47/DS47),IF(DL47&gt;0,DL47/1,0))</f>
        <v>#VALUE!</v>
      </c>
      <c r="BC38" s="218" t="e">
        <f>IF(BA38&lt;&gt;0,IF(EG47&gt;0,DZ47/EG47,0),0)</f>
        <v>#VALUE!</v>
      </c>
      <c r="BD38" s="218" t="s">
        <v>5</v>
      </c>
      <c r="BE38" s="219" t="e">
        <f>IF(EU47&gt;0,IF(BC38=0,0,EN47/EU47),IF(EN47&gt;0,EN47/1,0))</f>
        <v>#VALUE!</v>
      </c>
      <c r="BF38" s="219" t="e">
        <f>IF(BE38&lt;&gt;0,IF(FI47&gt;0,FB47/FI47,0),0)</f>
        <v>#VALUE!</v>
      </c>
      <c r="BG38" s="219" t="s">
        <v>33</v>
      </c>
      <c r="BH38" s="223" t="e">
        <f>AY38+BA38*0.01+BB38*0.0001+BC38*0.000001+BE38*0.00000001+BF38*0.0000000001</f>
        <v>#VALUE!</v>
      </c>
      <c r="BI38" s="218"/>
      <c r="BJ38" s="218"/>
      <c r="BK38" s="219" t="e">
        <f>RANK(BH38,BH38:BH44,)</f>
        <v>#VALUE!</v>
      </c>
      <c r="BL38" s="219"/>
      <c r="BM38" s="219"/>
      <c r="BN38" s="219"/>
      <c r="BO38" s="219" t="e">
        <f>IF(BH38=MIN(BH38:BH43),4,IF(BH38=MAX(BH38:BH43),1,0))</f>
        <v>#VALUE!</v>
      </c>
      <c r="BP38" s="219" t="e">
        <f>IF(BO38=0,BH38,0)</f>
        <v>#VALUE!</v>
      </c>
      <c r="BQ38" s="219" t="e">
        <f>IF(BP38&lt;&gt;0,IF(BP38=MAX(BP38:BP43),2,IF(BP38=MIN(BP38:BP43),3,0)),0)</f>
        <v>#VALUE!</v>
      </c>
      <c r="BR38" s="219" t="e">
        <f>IF(AND(BO38=0,BQ38=0),3,0)</f>
        <v>#VALUE!</v>
      </c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3"/>
      <c r="FK38" s="213"/>
      <c r="FL38" s="213"/>
      <c r="FM38" s="213"/>
    </row>
    <row r="39" spans="1:169" ht="27.95" customHeight="1" x14ac:dyDescent="0.2">
      <c r="A39" s="722">
        <v>2</v>
      </c>
      <c r="B39" s="745"/>
      <c r="C39" s="719">
        <f>liste!A15</f>
        <v>7</v>
      </c>
      <c r="D39" s="720"/>
      <c r="E39" s="721"/>
      <c r="F39" s="664">
        <f>IF(C39="","",VLOOKUP(C39,liste!$A$9:$G$145,7,FALSE))</f>
        <v>7221992</v>
      </c>
      <c r="G39" s="665" t="e">
        <f>IF(F39="","",VLOOKUP(F39,liste!$A$9:$G$145,7,FALSE))</f>
        <v>#N/A</v>
      </c>
      <c r="H39" s="666" t="e">
        <f>IF(G39="","",VLOOKUP(G39,liste!$A$9:$G$145,7,FALSE))</f>
        <v>#N/A</v>
      </c>
      <c r="I39" s="677" t="str">
        <f>IF(C39="","",VLOOKUP(C39,liste!$A$9:$G$145,2,FALSE))</f>
        <v>SAUSSEREAU Rose</v>
      </c>
      <c r="J39" s="678"/>
      <c r="K39" s="678"/>
      <c r="L39" s="678"/>
      <c r="M39" s="678"/>
      <c r="N39" s="679"/>
      <c r="O39" s="711">
        <f>IF(C39="","",VLOOKUP(C39,liste!$A$9:$G$145,4,FALSE))</f>
        <v>5</v>
      </c>
      <c r="P39" s="712" t="str">
        <f>IF(J39="","",VLOOKUP(J39,liste!$A$9:$G$145,4,FALSE))</f>
        <v/>
      </c>
      <c r="Q39" s="708" t="str">
        <f>IF(C39="","",VLOOKUP(C39,liste!$A$9:$G$145,3,FALSE))</f>
        <v>ANILLE BRAYE ABTT</v>
      </c>
      <c r="R39" s="709"/>
      <c r="S39" s="709"/>
      <c r="T39" s="709"/>
      <c r="U39" s="709"/>
      <c r="V39" s="709"/>
      <c r="W39" s="709"/>
      <c r="X39" s="709"/>
      <c r="Y39" s="710"/>
      <c r="Z39" s="708">
        <f>IF(C39="","",VLOOKUP(C39,liste!$A$9:$G$145,6,FALSE))</f>
        <v>500</v>
      </c>
      <c r="AA39" s="710" t="str">
        <f>IF(U39="","",VLOOKUP(U39,liste!$A$9:$G$145,4,FALSE))</f>
        <v/>
      </c>
      <c r="AB39" s="400" t="str">
        <f>"B"&amp;Y52&amp;C39</f>
        <v>B7</v>
      </c>
      <c r="AC39" s="213"/>
      <c r="AD39" s="213"/>
      <c r="AE39" s="214" t="s">
        <v>35</v>
      </c>
      <c r="AF39" s="216">
        <v>2</v>
      </c>
      <c r="AG39" s="220">
        <f>C39</f>
        <v>7</v>
      </c>
      <c r="AH39" s="214" t="s">
        <v>5</v>
      </c>
      <c r="AI39" s="214" t="s">
        <v>5</v>
      </c>
      <c r="AJ39" s="214"/>
      <c r="AK39" s="214"/>
      <c r="AL39" s="214" t="s">
        <v>59</v>
      </c>
      <c r="AM39" s="214" t="e">
        <f>IF($BK$38=2,$AF$38,IF($BK$39=2,$AF$39,IF($BK$40=2,$AF$40,IF($BK$41=2,$AF$41,""))))</f>
        <v>#VALUE!</v>
      </c>
      <c r="AN39" s="215"/>
      <c r="AO39" s="221" t="e">
        <f>VLOOKUP(AM39,AF38:AG41,2)</f>
        <v>#VALUE!</v>
      </c>
      <c r="AP39" s="215"/>
      <c r="AQ39" s="215"/>
      <c r="AR39" s="215"/>
      <c r="AS39" s="217" t="s">
        <v>5</v>
      </c>
      <c r="AT39" s="218"/>
      <c r="AU39" s="218"/>
      <c r="AV39" s="222" t="e">
        <f>BH39</f>
        <v>#VALUE!</v>
      </c>
      <c r="AW39" s="218"/>
      <c r="AX39" s="218" t="s">
        <v>35</v>
      </c>
      <c r="AY39" s="218" t="e">
        <f>CF48</f>
        <v>#VALUE!</v>
      </c>
      <c r="AZ39" s="218"/>
      <c r="BA39" s="219" t="e">
        <f>IF(DE48&gt;0,CX48/DE48,IF(CX48&gt;0,CX48/1,0))</f>
        <v>#VALUE!</v>
      </c>
      <c r="BB39" s="219" t="e">
        <f>IF(DS48&gt;0,IF(BA39=0,0,DL48/DS48),IF(DL48&gt;0,DL48/1,0))</f>
        <v>#VALUE!</v>
      </c>
      <c r="BC39" s="218" t="e">
        <f>IF(BA39&lt;&gt;0,IF(EG48&gt;0,DZ48/EG48,0),0)</f>
        <v>#VALUE!</v>
      </c>
      <c r="BD39" s="218" t="s">
        <v>5</v>
      </c>
      <c r="BE39" s="219" t="e">
        <f>IF(EU48&gt;0,IF(BC39=0,0,EN48/EU48),IF(EN48&gt;0,EN48/1,0))</f>
        <v>#VALUE!</v>
      </c>
      <c r="BF39" s="219" t="e">
        <f>IF(BE39&lt;&gt;0,IF(FI48&gt;0,FB48/FI48,0),0)</f>
        <v>#VALUE!</v>
      </c>
      <c r="BG39" s="219" t="s">
        <v>35</v>
      </c>
      <c r="BH39" s="223" t="e">
        <f>AY39+BA39*0.01+BB39*0.0001+BC39*0.000001+BE39*0.00000001+BF39*0.0000000001</f>
        <v>#VALUE!</v>
      </c>
      <c r="BI39" s="218"/>
      <c r="BJ39" s="218"/>
      <c r="BK39" s="219" t="e">
        <f>RANK(BH39,BH38:BH44,)</f>
        <v>#VALUE!</v>
      </c>
      <c r="BL39" s="219"/>
      <c r="BM39" s="219"/>
      <c r="BN39" s="219"/>
      <c r="BO39" s="219" t="e">
        <f>IF(BH39=MIN(BH38:BH43),4,IF(BH39=MAX(BH38:BH43),1,0))</f>
        <v>#VALUE!</v>
      </c>
      <c r="BP39" s="219" t="e">
        <f>IF(BO39=0,BH39,0)</f>
        <v>#VALUE!</v>
      </c>
      <c r="BQ39" s="219" t="e">
        <f>IF(BP39&lt;&gt;0,IF(BP39=MAX(BP38:BP43),2,IF(BP39=MIN(BP38:BP43),3,0)),0)</f>
        <v>#VALUE!</v>
      </c>
      <c r="BR39" s="219" t="e">
        <f>IF(AND(BO39=0,BQ39=0),3,0)</f>
        <v>#VALUE!</v>
      </c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3"/>
      <c r="FK39" s="213"/>
      <c r="FL39" s="213"/>
      <c r="FM39" s="213"/>
    </row>
    <row r="40" spans="1:169" ht="27.95" customHeight="1" x14ac:dyDescent="0.2">
      <c r="A40" s="722">
        <v>3</v>
      </c>
      <c r="B40" s="745"/>
      <c r="C40" s="719">
        <f>liste!A18</f>
        <v>10</v>
      </c>
      <c r="D40" s="720"/>
      <c r="E40" s="721"/>
      <c r="F40" s="664">
        <f>IF(C40="","",VLOOKUP(C40,liste!$A$9:$G$145,7,FALSE))</f>
        <v>7222502</v>
      </c>
      <c r="G40" s="665" t="e">
        <f>IF(F40="","",VLOOKUP(F40,liste!$A$9:$G$145,7,FALSE))</f>
        <v>#N/A</v>
      </c>
      <c r="H40" s="666" t="e">
        <f>IF(G40="","",VLOOKUP(G40,liste!$A$9:$G$145,7,FALSE))</f>
        <v>#N/A</v>
      </c>
      <c r="I40" s="677" t="str">
        <f>IF(C40="","",VLOOKUP(C40,liste!$A$9:$G$145,2,FALSE))</f>
        <v>HEROUF Elise</v>
      </c>
      <c r="J40" s="678"/>
      <c r="K40" s="678"/>
      <c r="L40" s="678"/>
      <c r="M40" s="678"/>
      <c r="N40" s="679"/>
      <c r="O40" s="711">
        <f>IF(C40="","",VLOOKUP(C40,liste!$A$9:$G$145,4,FALSE))</f>
        <v>5</v>
      </c>
      <c r="P40" s="712" t="str">
        <f>IF(J40="","",VLOOKUP(J40,liste!$A$9:$G$145,4,FALSE))</f>
        <v/>
      </c>
      <c r="Q40" s="708" t="str">
        <f>IF(C40="","",VLOOKUP(C40,liste!$A$9:$G$145,3,FALSE))</f>
        <v>ARNAGE US</v>
      </c>
      <c r="R40" s="709"/>
      <c r="S40" s="709"/>
      <c r="T40" s="709"/>
      <c r="U40" s="709"/>
      <c r="V40" s="709"/>
      <c r="W40" s="709"/>
      <c r="X40" s="709"/>
      <c r="Y40" s="710"/>
      <c r="Z40" s="708">
        <f>IF(C40="","",VLOOKUP(C40,liste!$A$9:$G$145,6,FALSE))</f>
        <v>500</v>
      </c>
      <c r="AA40" s="710" t="str">
        <f>IF(U40="","",VLOOKUP(U40,liste!$A$9:$G$145,4,FALSE))</f>
        <v/>
      </c>
      <c r="AB40" s="400" t="str">
        <f>"B"&amp;Z52&amp;C40</f>
        <v>B10</v>
      </c>
      <c r="AC40" s="213"/>
      <c r="AD40" s="213"/>
      <c r="AE40" s="214" t="s">
        <v>36</v>
      </c>
      <c r="AF40" s="216">
        <v>3</v>
      </c>
      <c r="AG40" s="220">
        <f>C40</f>
        <v>10</v>
      </c>
      <c r="AH40" s="214" t="s">
        <v>5</v>
      </c>
      <c r="AI40" s="214" t="s">
        <v>5</v>
      </c>
      <c r="AJ40" s="214"/>
      <c r="AK40" s="214"/>
      <c r="AL40" s="214" t="s">
        <v>60</v>
      </c>
      <c r="AM40" s="214" t="e">
        <f>IF($BK$38=3,$AF$38,IF($BK$39=3,$AF$39,IF($BK$40=3,$AF$40,IF($BK$41=3,$AF$41,""))))</f>
        <v>#VALUE!</v>
      </c>
      <c r="AN40" s="215"/>
      <c r="AO40" s="221" t="e">
        <f>VLOOKUP(AM40,AF38:AG41,2)</f>
        <v>#VALUE!</v>
      </c>
      <c r="AP40" s="215"/>
      <c r="AQ40" s="215"/>
      <c r="AR40" s="215"/>
      <c r="AS40" s="217" t="s">
        <v>5</v>
      </c>
      <c r="AT40" s="218"/>
      <c r="AU40" s="218"/>
      <c r="AV40" s="222" t="e">
        <f>BH40</f>
        <v>#VALUE!</v>
      </c>
      <c r="AW40" s="218"/>
      <c r="AX40" s="218" t="s">
        <v>36</v>
      </c>
      <c r="AY40" s="218" t="e">
        <f>CF49</f>
        <v>#VALUE!</v>
      </c>
      <c r="AZ40" s="218"/>
      <c r="BA40" s="219" t="e">
        <f>IF(DE49&gt;0,CX49/DE49,IF(CX49&gt;0,CX49/1,0))</f>
        <v>#VALUE!</v>
      </c>
      <c r="BB40" s="219" t="e">
        <f>IF(DS49&gt;0,IF(BA40=0,0,DL49/DS49),IF(DL49&gt;0,DL49/1,0))</f>
        <v>#VALUE!</v>
      </c>
      <c r="BC40" s="218" t="e">
        <f>IF(BA40&lt;&gt;0,IF(EG49&gt;0,DZ49/EG49,0),0)</f>
        <v>#VALUE!</v>
      </c>
      <c r="BD40" s="218" t="s">
        <v>5</v>
      </c>
      <c r="BE40" s="219" t="e">
        <f>IF(EU49&gt;0,IF(BC40=0,0,EN49/EU49),IF(EN49&gt;0,EN49/1,0))</f>
        <v>#VALUE!</v>
      </c>
      <c r="BF40" s="219" t="e">
        <f>IF(BE40&lt;&gt;0,IF(FI49&gt;0,FB49/FI49,0),0)</f>
        <v>#VALUE!</v>
      </c>
      <c r="BG40" s="219" t="s">
        <v>36</v>
      </c>
      <c r="BH40" s="223" t="e">
        <f>AY40+BA40*0.01+BB40*0.0001+BC40*0.000001+BE40*0.00000001+BF40*0.0000000001</f>
        <v>#VALUE!</v>
      </c>
      <c r="BI40" s="218"/>
      <c r="BJ40" s="218"/>
      <c r="BK40" s="219" t="e">
        <f>RANK(BH40,BH38:BH44,)</f>
        <v>#VALUE!</v>
      </c>
      <c r="BL40" s="219"/>
      <c r="BM40" s="219"/>
      <c r="BN40" s="219"/>
      <c r="BO40" s="219" t="e">
        <f>IF(BH40=MIN(BH38:BH43),4,IF(BH40=MAX(BH38:BH43),1,0))</f>
        <v>#VALUE!</v>
      </c>
      <c r="BP40" s="219" t="e">
        <f>IF(BO40=0,BH40,0)</f>
        <v>#VALUE!</v>
      </c>
      <c r="BQ40" s="219" t="e">
        <f>IF(BP40&lt;&gt;0,IF(BP40=MAX(BP38:BP43),2,IF(BP40=MIN(BP38:BP43),3,0)),0)</f>
        <v>#VALUE!</v>
      </c>
      <c r="BR40" s="219" t="e">
        <f>IF(AND(BO40=0,BQ40=0),3,0)</f>
        <v>#VALUE!</v>
      </c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3"/>
      <c r="FK40" s="213"/>
      <c r="FL40" s="213"/>
      <c r="FM40" s="213"/>
    </row>
    <row r="41" spans="1:169" ht="27.95" customHeight="1" thickBot="1" x14ac:dyDescent="0.25">
      <c r="A41" s="724">
        <v>4</v>
      </c>
      <c r="B41" s="741"/>
      <c r="C41" s="736">
        <f>liste!A23</f>
        <v>15</v>
      </c>
      <c r="D41" s="737"/>
      <c r="E41" s="738"/>
      <c r="F41" s="658">
        <f>IF(C41="","",VLOOKUP(C41,liste!$A$9:$G$145,7,FALSE))</f>
        <v>0</v>
      </c>
      <c r="G41" s="659" t="e">
        <f>IF(F41="","",VLOOKUP(F41,liste!$A$9:$G$145,7,FALSE))</f>
        <v>#N/A</v>
      </c>
      <c r="H41" s="660" t="e">
        <f>IF(G41="","",VLOOKUP(G41,liste!$A$9:$G$145,7,FALSE))</f>
        <v>#N/A</v>
      </c>
      <c r="I41" s="703">
        <f>IF(C41="","",VLOOKUP(C41,liste!$A$9:$G$145,2,FALSE))</f>
        <v>0</v>
      </c>
      <c r="J41" s="704"/>
      <c r="K41" s="704"/>
      <c r="L41" s="704"/>
      <c r="M41" s="704"/>
      <c r="N41" s="705"/>
      <c r="O41" s="697">
        <f>IF(C41="","",VLOOKUP(C41,liste!$A$9:$G$145,4,FALSE))</f>
        <v>0</v>
      </c>
      <c r="P41" s="698" t="str">
        <f>IF(J41="","",VLOOKUP(J41,liste!$A$9:$G$145,4,FALSE))</f>
        <v/>
      </c>
      <c r="Q41" s="713">
        <f>IF(C41="","",VLOOKUP(C41,liste!$A$9:$G$145,3,FALSE))</f>
        <v>0</v>
      </c>
      <c r="R41" s="714"/>
      <c r="S41" s="714"/>
      <c r="T41" s="714"/>
      <c r="U41" s="714"/>
      <c r="V41" s="714"/>
      <c r="W41" s="714"/>
      <c r="X41" s="714"/>
      <c r="Y41" s="715"/>
      <c r="Z41" s="713">
        <f>IF(C41="","",VLOOKUP(C41,liste!$A$9:$G$145,6,FALSE))</f>
        <v>0</v>
      </c>
      <c r="AA41" s="715" t="str">
        <f>IF(U41="","",VLOOKUP(U41,liste!$A$9:$G$145,4,FALSE))</f>
        <v/>
      </c>
      <c r="AB41" s="400" t="str">
        <f>"B"&amp;AA52&amp;C41</f>
        <v>B15</v>
      </c>
      <c r="AC41" s="213"/>
      <c r="AD41" s="213"/>
      <c r="AE41" s="214" t="s">
        <v>61</v>
      </c>
      <c r="AF41" s="216">
        <v>4</v>
      </c>
      <c r="AG41" s="220">
        <f>C41</f>
        <v>15</v>
      </c>
      <c r="AH41" s="214" t="s">
        <v>5</v>
      </c>
      <c r="AI41" s="214" t="s">
        <v>5</v>
      </c>
      <c r="AJ41" s="214"/>
      <c r="AK41" s="214"/>
      <c r="AL41" s="214" t="s">
        <v>62</v>
      </c>
      <c r="AM41" s="214" t="e">
        <f>IF($BK$38=4,$AF$38,IF($BK$39=4,$AF$39,IF($BK$40=4,$AF$40,IF($BK$41=4,$AF$41,""))))</f>
        <v>#VALUE!</v>
      </c>
      <c r="AN41" s="215"/>
      <c r="AO41" s="221" t="e">
        <f>VLOOKUP(AM41,AF38:AG41,2)</f>
        <v>#VALUE!</v>
      </c>
      <c r="AP41" s="215"/>
      <c r="AQ41" s="215"/>
      <c r="AR41" s="215"/>
      <c r="AS41" s="217" t="s">
        <v>5</v>
      </c>
      <c r="AT41" s="224"/>
      <c r="AU41" s="218"/>
      <c r="AV41" s="222" t="e">
        <f>BH41</f>
        <v>#VALUE!</v>
      </c>
      <c r="AW41" s="218"/>
      <c r="AX41" s="218" t="s">
        <v>61</v>
      </c>
      <c r="AY41" s="218" t="e">
        <f>CF50</f>
        <v>#VALUE!</v>
      </c>
      <c r="AZ41" s="218"/>
      <c r="BA41" s="219" t="e">
        <f>IF(DE50&gt;0,CX50/DE50,IF(CX50&gt;0,CX50/1,0))</f>
        <v>#VALUE!</v>
      </c>
      <c r="BB41" s="219" t="e">
        <f>IF(DS50&gt;0,IF(BA41=0,0,DL50/DS50),IF(DL50&gt;0,DL50/1,0))</f>
        <v>#VALUE!</v>
      </c>
      <c r="BC41" s="218" t="e">
        <f>IF(BA41&lt;&gt;0,IF(EG50&gt;0,DZ50/EG50,0),0)</f>
        <v>#VALUE!</v>
      </c>
      <c r="BD41" s="218" t="s">
        <v>5</v>
      </c>
      <c r="BE41" s="219" t="e">
        <f>IF(EU50&gt;0,IF(BC41=0,0,EN50/EU50),IF(EN50&gt;0,EN50/1,0))</f>
        <v>#VALUE!</v>
      </c>
      <c r="BF41" s="218" t="e">
        <f>IF(BE41&lt;&gt;0,IF(FI50&gt;0,FB50/FI50,0),0)</f>
        <v>#VALUE!</v>
      </c>
      <c r="BG41" s="219" t="s">
        <v>61</v>
      </c>
      <c r="BH41" s="223" t="e">
        <f>AY41+BA41*0.01+BB41*0.0001+BC41*0.000001+BE41*0.00000001+BF41*0.0000000001</f>
        <v>#VALUE!</v>
      </c>
      <c r="BI41" s="218"/>
      <c r="BJ41" s="218"/>
      <c r="BK41" s="219" t="e">
        <f>RANK(BH41,BH38:BH44,)</f>
        <v>#VALUE!</v>
      </c>
      <c r="BL41" s="219"/>
      <c r="BM41" s="219"/>
      <c r="BN41" s="219"/>
      <c r="BO41" s="219" t="e">
        <f>IF(BH41=MIN(BH38:BH43),4,IF(BH41=MAX(BH38:BH43),1,0))</f>
        <v>#VALUE!</v>
      </c>
      <c r="BP41" s="219" t="e">
        <f>IF(BO41=0,BH41,0)</f>
        <v>#VALUE!</v>
      </c>
      <c r="BQ41" s="219" t="e">
        <f>IF(BP41&lt;&gt;0,IF(BP41=MAX(BP38:BP43),2,IF(BP41=MIN(BP38:BP43),3,0)),0)</f>
        <v>#VALUE!</v>
      </c>
      <c r="BR41" s="219" t="e">
        <f>IF(AND(BO41=0,BQ41=0),3,0)</f>
        <v>#VALUE!</v>
      </c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3"/>
      <c r="FK41" s="213"/>
      <c r="FL41" s="213"/>
      <c r="FM41" s="213"/>
    </row>
    <row r="42" spans="1:169" ht="21.95" customHeight="1" thickBot="1" x14ac:dyDescent="0.25">
      <c r="A42" s="394"/>
      <c r="B42" s="394"/>
      <c r="C42" s="394"/>
      <c r="D42" s="394"/>
      <c r="E42" s="394"/>
      <c r="F42" s="394"/>
      <c r="G42" s="394"/>
      <c r="H42" s="390"/>
      <c r="I42" s="390"/>
      <c r="J42" s="390"/>
      <c r="K42" s="390"/>
      <c r="L42" s="390"/>
      <c r="M42" s="390"/>
      <c r="N42" s="390"/>
      <c r="O42" s="392"/>
      <c r="P42" s="392"/>
      <c r="Q42" s="392"/>
      <c r="R42" s="392"/>
      <c r="S42" s="392"/>
      <c r="T42" s="392"/>
      <c r="U42" s="392"/>
      <c r="V42" s="392"/>
      <c r="W42" s="392"/>
      <c r="X42" s="401"/>
      <c r="Y42" s="401"/>
      <c r="Z42" s="401"/>
      <c r="AA42" s="401"/>
      <c r="AB42" s="390"/>
      <c r="AC42" s="213"/>
      <c r="AD42" s="213"/>
      <c r="AE42" s="215"/>
      <c r="AF42" s="221"/>
      <c r="AG42" s="215"/>
      <c r="AH42" s="215"/>
      <c r="AI42" s="215"/>
      <c r="AJ42" s="215"/>
      <c r="AK42" s="215"/>
      <c r="AL42" s="215"/>
      <c r="AM42" s="215"/>
      <c r="AN42" s="215"/>
      <c r="AO42" s="221"/>
      <c r="AP42" s="215"/>
      <c r="AQ42" s="215"/>
      <c r="AR42" s="215"/>
      <c r="AS42" s="218"/>
      <c r="AT42" s="218"/>
      <c r="AU42" s="218"/>
      <c r="AV42" s="218"/>
      <c r="AW42" s="218"/>
      <c r="AX42" s="218"/>
      <c r="AY42" s="218"/>
      <c r="AZ42" s="218"/>
      <c r="BA42" s="219"/>
      <c r="BB42" s="219"/>
      <c r="BC42" s="218"/>
      <c r="BD42" s="218"/>
      <c r="BE42" s="219"/>
      <c r="BF42" s="218"/>
      <c r="BG42" s="219"/>
      <c r="BH42" s="223"/>
      <c r="BI42" s="218"/>
      <c r="BJ42" s="218"/>
      <c r="BK42" s="219"/>
      <c r="BL42" s="219"/>
      <c r="BM42" s="219"/>
      <c r="BN42" s="219"/>
      <c r="BO42" s="219"/>
      <c r="BP42" s="219"/>
      <c r="BQ42" s="219"/>
      <c r="BR42" s="219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3"/>
      <c r="FK42" s="213"/>
      <c r="FL42" s="213"/>
      <c r="FM42" s="213"/>
    </row>
    <row r="43" spans="1:169" ht="21.95" customHeight="1" thickBot="1" x14ac:dyDescent="0.25">
      <c r="A43" s="394"/>
      <c r="B43" s="394"/>
      <c r="C43" s="394"/>
      <c r="D43" s="394"/>
      <c r="E43" s="394"/>
      <c r="F43" s="394"/>
      <c r="G43" s="394"/>
      <c r="H43" s="390"/>
      <c r="I43" s="390"/>
      <c r="J43" s="390"/>
      <c r="K43" s="390"/>
      <c r="L43" s="390"/>
      <c r="M43" s="390"/>
      <c r="N43" s="390"/>
      <c r="O43" s="392"/>
      <c r="P43" s="392"/>
      <c r="Q43" s="392"/>
      <c r="R43" s="749" t="s">
        <v>19</v>
      </c>
      <c r="S43" s="750"/>
      <c r="T43" s="750"/>
      <c r="U43" s="750"/>
      <c r="V43" s="750"/>
      <c r="W43" s="402"/>
      <c r="X43" s="681" t="s">
        <v>10</v>
      </c>
      <c r="Y43" s="682"/>
      <c r="Z43" s="682"/>
      <c r="AA43" s="683"/>
      <c r="AC43" s="213"/>
      <c r="AD43" s="213"/>
      <c r="AE43" s="225"/>
      <c r="AF43" s="226"/>
      <c r="AG43" s="225"/>
      <c r="AH43" s="225"/>
      <c r="AI43" s="225"/>
      <c r="AJ43" s="225"/>
      <c r="AK43" s="225"/>
      <c r="AL43" s="225"/>
      <c r="AM43" s="225"/>
      <c r="AN43" s="225"/>
      <c r="AO43" s="226"/>
      <c r="AP43" s="225"/>
      <c r="AQ43" s="225"/>
      <c r="AR43" s="225"/>
      <c r="AS43" s="218"/>
      <c r="AT43" s="218"/>
      <c r="AU43" s="218"/>
      <c r="AV43" s="218"/>
      <c r="AW43" s="218"/>
      <c r="AX43" s="218"/>
      <c r="AY43" s="218"/>
      <c r="AZ43" s="218"/>
      <c r="BA43" s="219"/>
      <c r="BB43" s="219"/>
      <c r="BC43" s="218"/>
      <c r="BD43" s="218"/>
      <c r="BE43" s="218"/>
      <c r="BF43" s="218"/>
      <c r="BG43" s="219"/>
      <c r="BH43" s="223"/>
      <c r="BI43" s="218"/>
      <c r="BJ43" s="218"/>
      <c r="BK43" s="219"/>
      <c r="BL43" s="219"/>
      <c r="BM43" s="219"/>
      <c r="BN43" s="219"/>
      <c r="BO43" s="219"/>
      <c r="BP43" s="219"/>
      <c r="BQ43" s="219"/>
      <c r="BR43" s="219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3"/>
      <c r="FK43" s="213"/>
      <c r="FL43" s="213"/>
      <c r="FM43" s="213"/>
    </row>
    <row r="44" spans="1:169" ht="21.95" customHeight="1" thickBot="1" x14ac:dyDescent="0.25">
      <c r="A44" s="403"/>
      <c r="B44" s="403"/>
      <c r="C44" s="403"/>
      <c r="D44" s="403"/>
      <c r="E44" s="404" t="s">
        <v>154</v>
      </c>
      <c r="F44" s="405" t="s">
        <v>142</v>
      </c>
      <c r="G44" s="403"/>
      <c r="H44" s="401"/>
      <c r="I44" s="401"/>
      <c r="J44" s="401"/>
      <c r="K44" s="401"/>
      <c r="L44" s="401"/>
      <c r="M44" s="401"/>
      <c r="N44" s="401"/>
      <c r="O44" s="406"/>
      <c r="P44" s="406"/>
      <c r="Q44" s="406"/>
      <c r="R44" s="407">
        <v>1</v>
      </c>
      <c r="S44" s="408">
        <v>2</v>
      </c>
      <c r="T44" s="408">
        <v>3</v>
      </c>
      <c r="U44" s="409">
        <v>4</v>
      </c>
      <c r="V44" s="410">
        <v>5</v>
      </c>
      <c r="W44" s="402"/>
      <c r="X44" s="411">
        <v>1</v>
      </c>
      <c r="Y44" s="412">
        <v>2</v>
      </c>
      <c r="Z44" s="412">
        <v>3</v>
      </c>
      <c r="AA44" s="536">
        <v>4</v>
      </c>
      <c r="AC44" s="213"/>
      <c r="AD44" s="213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9"/>
      <c r="BL44" s="219"/>
      <c r="BM44" s="219"/>
      <c r="BN44" s="219"/>
      <c r="BO44" s="219"/>
      <c r="BP44" s="219"/>
      <c r="BQ44" s="219"/>
      <c r="BR44" s="219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3"/>
      <c r="FK44" s="213"/>
      <c r="FL44" s="213"/>
      <c r="FM44" s="213"/>
    </row>
    <row r="45" spans="1:169" ht="27.95" customHeight="1" x14ac:dyDescent="0.2">
      <c r="A45" s="540">
        <v>1</v>
      </c>
      <c r="B45" s="413" t="s">
        <v>13</v>
      </c>
      <c r="C45" s="414">
        <v>4</v>
      </c>
      <c r="D45" s="415" t="str">
        <f>Rens!F4</f>
        <v>Sa</v>
      </c>
      <c r="E45" s="416">
        <f>Rens!B8</f>
        <v>0</v>
      </c>
      <c r="F45" s="417">
        <f>Rens!C8</f>
        <v>0</v>
      </c>
      <c r="G45" s="671" t="str">
        <f t="shared" ref="G45:G50" si="25" xml:space="preserve"> VLOOKUP(A45,$A$38:$O$41,9)</f>
        <v>TARROUX Lucie</v>
      </c>
      <c r="H45" s="672"/>
      <c r="I45" s="672"/>
      <c r="J45" s="672"/>
      <c r="K45" s="672"/>
      <c r="L45" s="418" t="s">
        <v>9</v>
      </c>
      <c r="M45" s="672">
        <f t="shared" ref="M45:M50" si="26" xml:space="preserve"> VLOOKUP(C45,$A$38:$O$41,9)</f>
        <v>0</v>
      </c>
      <c r="N45" s="672"/>
      <c r="O45" s="672"/>
      <c r="P45" s="672"/>
      <c r="Q45" s="675"/>
      <c r="R45" s="319"/>
      <c r="S45" s="320"/>
      <c r="T45" s="320"/>
      <c r="U45" s="207"/>
      <c r="V45" s="207"/>
      <c r="W45" s="516"/>
      <c r="X45" s="520" t="str">
        <f>IF(AND(COUNTIF(($R45:$V45),"&gt;0")&gt;=2),1,IF(AND(COUNTIF(($R45:$V45),"&lt;0")&gt;=2),0,blanc))</f>
        <v xml:space="preserve"> </v>
      </c>
      <c r="Y45" s="419"/>
      <c r="Z45" s="419"/>
      <c r="AA45" s="521" t="str">
        <f>IF(AND(X45=0),1,IF(AND(X45=1),0,blanc))</f>
        <v xml:space="preserve"> </v>
      </c>
      <c r="AC45" s="213"/>
      <c r="AD45" s="213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>
        <f>BH45</f>
        <v>0</v>
      </c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 t="s">
        <v>41</v>
      </c>
      <c r="CT45" s="218"/>
      <c r="CU45" s="218"/>
      <c r="CV45" s="218"/>
      <c r="CW45" s="218"/>
      <c r="CX45" s="218"/>
      <c r="CY45" s="218"/>
      <c r="CZ45" s="218" t="s">
        <v>42</v>
      </c>
      <c r="DA45" s="218"/>
      <c r="DB45" s="218"/>
      <c r="DC45" s="218"/>
      <c r="DD45" s="218"/>
      <c r="DE45" s="213"/>
      <c r="DF45" s="218"/>
      <c r="DG45" s="218" t="s">
        <v>54</v>
      </c>
      <c r="DH45" s="218"/>
      <c r="DI45" s="218"/>
      <c r="DJ45" s="218"/>
      <c r="DK45" s="218"/>
      <c r="DL45" s="218"/>
      <c r="DM45" s="218"/>
      <c r="DN45" s="218" t="s">
        <v>55</v>
      </c>
      <c r="DO45" s="218"/>
      <c r="DP45" s="218"/>
      <c r="DQ45" s="218"/>
      <c r="DR45" s="218"/>
      <c r="DS45" s="218"/>
      <c r="DT45" s="218"/>
      <c r="DU45" s="218" t="s">
        <v>43</v>
      </c>
      <c r="DV45" s="218"/>
      <c r="DW45" s="218"/>
      <c r="DX45" s="218"/>
      <c r="DY45" s="218"/>
      <c r="DZ45" s="218"/>
      <c r="EA45" s="218"/>
      <c r="EB45" s="218" t="s">
        <v>44</v>
      </c>
      <c r="EC45" s="218"/>
      <c r="ED45" s="218"/>
      <c r="EE45" s="218"/>
      <c r="EF45" s="218"/>
      <c r="EG45" s="218"/>
      <c r="EH45" s="218"/>
      <c r="EI45" s="218" t="s">
        <v>56</v>
      </c>
      <c r="EJ45" s="218"/>
      <c r="EK45" s="218"/>
      <c r="EL45" s="218"/>
      <c r="EM45" s="218"/>
      <c r="EN45" s="218"/>
      <c r="EO45" s="218"/>
      <c r="EP45" s="218" t="s">
        <v>57</v>
      </c>
      <c r="EQ45" s="218"/>
      <c r="ER45" s="218"/>
      <c r="ES45" s="218"/>
      <c r="ET45" s="218"/>
      <c r="EU45" s="218"/>
      <c r="EV45" s="218"/>
      <c r="EW45" s="218" t="s">
        <v>45</v>
      </c>
      <c r="EX45" s="218"/>
      <c r="EY45" s="218"/>
      <c r="EZ45" s="218"/>
      <c r="FA45" s="218"/>
      <c r="FB45" s="218"/>
      <c r="FC45" s="218"/>
      <c r="FD45" s="218" t="s">
        <v>46</v>
      </c>
      <c r="FE45" s="218"/>
      <c r="FF45" s="218"/>
      <c r="FG45" s="218"/>
      <c r="FH45" s="218"/>
      <c r="FI45" s="218"/>
      <c r="FJ45" s="213"/>
      <c r="FK45" s="213"/>
      <c r="FL45" s="213"/>
      <c r="FM45" s="213"/>
    </row>
    <row r="46" spans="1:169" ht="27.95" customHeight="1" thickBot="1" x14ac:dyDescent="0.25">
      <c r="A46" s="541">
        <v>2</v>
      </c>
      <c r="B46" s="420" t="s">
        <v>13</v>
      </c>
      <c r="C46" s="421">
        <v>3</v>
      </c>
      <c r="D46" s="422"/>
      <c r="E46" s="423">
        <f>E45+0.014</f>
        <v>1.4E-2</v>
      </c>
      <c r="F46" s="424">
        <f>F45</f>
        <v>0</v>
      </c>
      <c r="G46" s="673" t="str">
        <f t="shared" si="25"/>
        <v>SAUSSEREAU Rose</v>
      </c>
      <c r="H46" s="667"/>
      <c r="I46" s="667"/>
      <c r="J46" s="667"/>
      <c r="K46" s="667"/>
      <c r="L46" s="425" t="s">
        <v>9</v>
      </c>
      <c r="M46" s="667" t="str">
        <f t="shared" si="26"/>
        <v>HEROUF Elise</v>
      </c>
      <c r="N46" s="667"/>
      <c r="O46" s="667"/>
      <c r="P46" s="667"/>
      <c r="Q46" s="668"/>
      <c r="R46" s="208"/>
      <c r="S46" s="209"/>
      <c r="T46" s="209"/>
      <c r="U46" s="210"/>
      <c r="V46" s="210"/>
      <c r="W46" s="516"/>
      <c r="X46" s="522"/>
      <c r="Y46" s="518" t="str">
        <f>IF(AND(COUNTIF(($R46:$V46),"&gt;0")&gt;=2),1,IF(AND(COUNTIF(($R46:$V46),"&lt;0")&gt;=2),0,blanc))</f>
        <v xml:space="preserve"> </v>
      </c>
      <c r="Z46" s="518" t="str">
        <f>IF(AND(Y46=0),1,IF(AND(Y46=1),0,blanc))</f>
        <v xml:space="preserve"> </v>
      </c>
      <c r="AA46" s="523"/>
      <c r="AC46" s="213"/>
      <c r="AD46" s="213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 t="s">
        <v>33</v>
      </c>
      <c r="BV46" s="218" t="s">
        <v>5</v>
      </c>
      <c r="BW46" s="218" t="s">
        <v>35</v>
      </c>
      <c r="BX46" s="218"/>
      <c r="BY46" s="218" t="s">
        <v>36</v>
      </c>
      <c r="BZ46" s="218"/>
      <c r="CA46" s="218" t="s">
        <v>61</v>
      </c>
      <c r="CB46" s="218"/>
      <c r="CC46" s="218"/>
      <c r="CD46" s="218"/>
      <c r="CE46" s="218"/>
      <c r="CF46" s="227" t="s">
        <v>52</v>
      </c>
      <c r="CG46" s="227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28" t="s">
        <v>33</v>
      </c>
      <c r="CT46" s="219" t="s">
        <v>35</v>
      </c>
      <c r="CU46" s="219" t="s">
        <v>36</v>
      </c>
      <c r="CV46" s="219" t="s">
        <v>61</v>
      </c>
      <c r="CW46" s="219"/>
      <c r="CX46" s="229"/>
      <c r="CY46" s="218"/>
      <c r="CZ46" s="228" t="s">
        <v>33</v>
      </c>
      <c r="DA46" s="219" t="s">
        <v>35</v>
      </c>
      <c r="DB46" s="219" t="s">
        <v>36</v>
      </c>
      <c r="DC46" s="219" t="s">
        <v>61</v>
      </c>
      <c r="DD46" s="219"/>
      <c r="DE46" s="213"/>
      <c r="DF46" s="218"/>
      <c r="DG46" s="228" t="s">
        <v>33</v>
      </c>
      <c r="DH46" s="219" t="s">
        <v>35</v>
      </c>
      <c r="DI46" s="219" t="s">
        <v>36</v>
      </c>
      <c r="DJ46" s="219" t="s">
        <v>61</v>
      </c>
      <c r="DK46" s="219"/>
      <c r="DL46" s="229"/>
      <c r="DM46" s="218"/>
      <c r="DN46" s="228" t="s">
        <v>33</v>
      </c>
      <c r="DO46" s="219" t="s">
        <v>35</v>
      </c>
      <c r="DP46" s="219" t="s">
        <v>36</v>
      </c>
      <c r="DQ46" s="219" t="s">
        <v>61</v>
      </c>
      <c r="DR46" s="219"/>
      <c r="DS46" s="226"/>
      <c r="DT46" s="213"/>
      <c r="DU46" s="228" t="s">
        <v>33</v>
      </c>
      <c r="DV46" s="219" t="s">
        <v>35</v>
      </c>
      <c r="DW46" s="219" t="s">
        <v>36</v>
      </c>
      <c r="DX46" s="219" t="s">
        <v>61</v>
      </c>
      <c r="DY46" s="219"/>
      <c r="DZ46" s="226"/>
      <c r="EA46" s="213"/>
      <c r="EB46" s="228" t="s">
        <v>33</v>
      </c>
      <c r="EC46" s="219" t="s">
        <v>35</v>
      </c>
      <c r="ED46" s="219" t="s">
        <v>36</v>
      </c>
      <c r="EE46" s="219" t="s">
        <v>61</v>
      </c>
      <c r="EF46" s="219"/>
      <c r="EG46" s="229"/>
      <c r="EH46" s="213"/>
      <c r="EI46" s="228" t="s">
        <v>33</v>
      </c>
      <c r="EJ46" s="219" t="s">
        <v>35</v>
      </c>
      <c r="EK46" s="219" t="s">
        <v>36</v>
      </c>
      <c r="EL46" s="219" t="s">
        <v>61</v>
      </c>
      <c r="EM46" s="219"/>
      <c r="EN46" s="229"/>
      <c r="EO46" s="213"/>
      <c r="EP46" s="228" t="s">
        <v>33</v>
      </c>
      <c r="EQ46" s="219" t="s">
        <v>35</v>
      </c>
      <c r="ER46" s="219" t="s">
        <v>36</v>
      </c>
      <c r="ES46" s="219" t="s">
        <v>61</v>
      </c>
      <c r="ET46" s="219"/>
      <c r="EU46" s="219"/>
      <c r="EV46" s="213"/>
      <c r="EW46" s="228" t="s">
        <v>33</v>
      </c>
      <c r="EX46" s="219" t="s">
        <v>35</v>
      </c>
      <c r="EY46" s="219" t="s">
        <v>36</v>
      </c>
      <c r="EZ46" s="219" t="s">
        <v>61</v>
      </c>
      <c r="FA46" s="219"/>
      <c r="FB46" s="219"/>
      <c r="FC46" s="213"/>
      <c r="FD46" s="228" t="s">
        <v>33</v>
      </c>
      <c r="FE46" s="219" t="s">
        <v>35</v>
      </c>
      <c r="FF46" s="219" t="s">
        <v>36</v>
      </c>
      <c r="FG46" s="219" t="s">
        <v>61</v>
      </c>
      <c r="FH46" s="219"/>
      <c r="FI46" s="229"/>
      <c r="FJ46" s="213"/>
      <c r="FK46" s="213"/>
      <c r="FL46" s="213"/>
      <c r="FM46" s="213"/>
    </row>
    <row r="47" spans="1:169" ht="27.95" customHeight="1" thickTop="1" x14ac:dyDescent="0.2">
      <c r="A47" s="541">
        <v>1</v>
      </c>
      <c r="B47" s="420" t="s">
        <v>13</v>
      </c>
      <c r="C47" s="421">
        <v>3</v>
      </c>
      <c r="D47" s="422" t="str">
        <f>D45</f>
        <v>Sa</v>
      </c>
      <c r="E47" s="423">
        <f>E46+0.014</f>
        <v>2.8000000000000001E-2</v>
      </c>
      <c r="F47" s="424">
        <f>F45</f>
        <v>0</v>
      </c>
      <c r="G47" s="673" t="str">
        <f t="shared" si="25"/>
        <v>TARROUX Lucie</v>
      </c>
      <c r="H47" s="667"/>
      <c r="I47" s="667"/>
      <c r="J47" s="667"/>
      <c r="K47" s="667"/>
      <c r="L47" s="425" t="s">
        <v>9</v>
      </c>
      <c r="M47" s="667" t="str">
        <f t="shared" si="26"/>
        <v>HEROUF Elise</v>
      </c>
      <c r="N47" s="667"/>
      <c r="O47" s="667"/>
      <c r="P47" s="667"/>
      <c r="Q47" s="668"/>
      <c r="R47" s="211"/>
      <c r="S47" s="210"/>
      <c r="T47" s="210"/>
      <c r="U47" s="210"/>
      <c r="V47" s="210"/>
      <c r="W47" s="516"/>
      <c r="X47" s="524" t="str">
        <f>IF(AND(COUNTIF(($R47:$V47),"&gt;0")&gt;=2),1,IF(AND(COUNTIF(($R47:$V47),"&lt;0")&gt;=2),0,blanc))</f>
        <v xml:space="preserve"> </v>
      </c>
      <c r="Y47" s="426"/>
      <c r="Z47" s="518" t="str">
        <f>IF(AND(X47=0),1,IF(AND(X47=1),0,blanc))</f>
        <v xml:space="preserve"> </v>
      </c>
      <c r="AA47" s="523"/>
      <c r="AC47" s="230" t="s">
        <v>37</v>
      </c>
      <c r="AD47" s="231" t="str">
        <f>AI36</f>
        <v>IG1</v>
      </c>
      <c r="AE47" s="232"/>
      <c r="AF47" s="233" t="s">
        <v>63</v>
      </c>
      <c r="AG47" s="234"/>
      <c r="AH47" s="233" t="s">
        <v>64</v>
      </c>
      <c r="AI47" s="234"/>
      <c r="AJ47" s="233" t="s">
        <v>65</v>
      </c>
      <c r="AK47" s="234"/>
      <c r="AL47" s="233" t="s">
        <v>66</v>
      </c>
      <c r="AM47" s="235"/>
      <c r="AN47" s="233" t="s">
        <v>67</v>
      </c>
      <c r="AO47" s="236"/>
      <c r="AP47" s="237" t="s">
        <v>38</v>
      </c>
      <c r="AQ47" s="238"/>
      <c r="AR47" s="238"/>
      <c r="AS47" s="238"/>
      <c r="AT47" s="239"/>
      <c r="AU47" s="240"/>
      <c r="AV47" s="213"/>
      <c r="AW47" s="213"/>
      <c r="AX47" s="213"/>
      <c r="AY47" s="241" t="s">
        <v>38</v>
      </c>
      <c r="AZ47" s="232"/>
      <c r="BA47" s="232"/>
      <c r="BB47" s="232"/>
      <c r="BC47" s="242" t="s">
        <v>68</v>
      </c>
      <c r="BD47" s="232"/>
      <c r="BE47" s="232"/>
      <c r="BF47" s="232"/>
      <c r="BG47" s="232"/>
      <c r="BH47" s="232"/>
      <c r="BI47" s="232"/>
      <c r="BJ47" s="232"/>
      <c r="BK47" s="232"/>
      <c r="BL47" s="242" t="s">
        <v>39</v>
      </c>
      <c r="BM47" s="242" t="s">
        <v>40</v>
      </c>
      <c r="BN47" s="242"/>
      <c r="BO47" s="243"/>
      <c r="BQ47" s="200"/>
      <c r="BR47" s="225"/>
      <c r="BS47" s="214" t="str">
        <f>AE38</f>
        <v>A</v>
      </c>
      <c r="BT47" s="244"/>
      <c r="BU47" s="244"/>
      <c r="BV47" s="214" t="str">
        <f>BH53</f>
        <v>M</v>
      </c>
      <c r="BW47" s="214" t="e">
        <f>BL53</f>
        <v>#VALUE!</v>
      </c>
      <c r="BX47" s="214" t="str">
        <f>BH51</f>
        <v>M</v>
      </c>
      <c r="BY47" s="214" t="e">
        <f>BL51</f>
        <v>#VALUE!</v>
      </c>
      <c r="BZ47" s="214" t="str">
        <f>BH49</f>
        <v>M</v>
      </c>
      <c r="CA47" s="245" t="e">
        <f>BL49</f>
        <v>#VALUE!</v>
      </c>
      <c r="CB47" s="225"/>
      <c r="CC47" s="225"/>
      <c r="CD47" s="246"/>
      <c r="CE47" s="246"/>
      <c r="CF47" s="226" t="e">
        <f>SUM(CH47:CL47)</f>
        <v>#VALUE!</v>
      </c>
      <c r="CG47" s="219" t="e">
        <f>SUM(CM47:CQ47)</f>
        <v>#VALUE!</v>
      </c>
      <c r="CH47" s="214" t="e">
        <f>IF(BV47&gt;BW47,1,0)</f>
        <v>#VALUE!</v>
      </c>
      <c r="CI47" s="214" t="e">
        <f>IF(BX47&gt;BY47,1,0)</f>
        <v>#VALUE!</v>
      </c>
      <c r="CJ47" s="214" t="e">
        <f>IF(BZ47&gt;CA47,1,0)</f>
        <v>#VALUE!</v>
      </c>
      <c r="CK47" s="214">
        <f>IF(CB47&gt;CC47,1,0)</f>
        <v>0</v>
      </c>
      <c r="CL47" s="214">
        <f>IF(CD47&gt;CE47,1,0)</f>
        <v>0</v>
      </c>
      <c r="CM47" s="247" t="e">
        <f>IF(BV47&lt;BW47,1,0)</f>
        <v>#VALUE!</v>
      </c>
      <c r="CN47" s="214" t="e">
        <f>IF(BX47&lt;BY47,1,0)</f>
        <v>#VALUE!</v>
      </c>
      <c r="CO47" s="214" t="e">
        <f>IF(BZ47&lt;CA47,1,0)</f>
        <v>#VALUE!</v>
      </c>
      <c r="CP47" s="214">
        <f>IF(CB47&lt;CC47,1,0)</f>
        <v>0</v>
      </c>
      <c r="CQ47" s="214">
        <f>IF(CD47&lt;CE47,1,0)</f>
        <v>0</v>
      </c>
      <c r="CR47" s="214" t="s">
        <v>33</v>
      </c>
      <c r="CS47" s="248" t="s">
        <v>53</v>
      </c>
      <c r="CT47" s="216" t="e">
        <f>IF(CF47=CF48,AY53,"xxx")</f>
        <v>#VALUE!</v>
      </c>
      <c r="CU47" s="216" t="e">
        <f>IF(CF47=CF49,AY51,"xxx")</f>
        <v>#VALUE!</v>
      </c>
      <c r="CV47" s="216" t="e">
        <f>IF(CF47=CF50,AY49,"xxx")</f>
        <v>#VALUE!</v>
      </c>
      <c r="CW47" s="249"/>
      <c r="CX47" s="226" t="e">
        <f>SUM(CS47:CW47)</f>
        <v>#VALUE!</v>
      </c>
      <c r="CY47" s="214" t="s">
        <v>33</v>
      </c>
      <c r="CZ47" s="248" t="s">
        <v>53</v>
      </c>
      <c r="DA47" s="216" t="e">
        <f>IF(CF47=CF48,AZ53,"xxx")</f>
        <v>#VALUE!</v>
      </c>
      <c r="DB47" s="216" t="e">
        <f>IF(CF47=CF49,BA51,"xxx")</f>
        <v>#VALUE!</v>
      </c>
      <c r="DC47" s="216" t="e">
        <f>IF(CF47=CF50,BB49,"xxx")</f>
        <v>#VALUE!</v>
      </c>
      <c r="DD47" s="249"/>
      <c r="DE47" s="226" t="e">
        <f>SUM(CZ47:DD47)</f>
        <v>#VALUE!</v>
      </c>
      <c r="DF47" s="214" t="s">
        <v>33</v>
      </c>
      <c r="DG47" s="248" t="s">
        <v>53</v>
      </c>
      <c r="DH47" s="216" t="e">
        <f>IF(AND(BA38&lt;&gt;0,AY38=AY39),IF(BA38=BA39,AY53,"xxx"),"xxx")</f>
        <v>#VALUE!</v>
      </c>
      <c r="DI47" s="216" t="e">
        <f>IF(AND(BA38&lt;&gt;0,AY38=AY40),IF(BA38=BA40,AY51,"xxx"),"xxx")</f>
        <v>#VALUE!</v>
      </c>
      <c r="DJ47" s="216" t="e">
        <f>IF(AND(BA38&lt;&gt;0,AY38=AY41),IF(BA38=BA41,AY49,"xxx"),"xxx")</f>
        <v>#VALUE!</v>
      </c>
      <c r="DK47" s="249"/>
      <c r="DL47" s="226" t="e">
        <f>SUM(DG47:DK47)</f>
        <v>#VALUE!</v>
      </c>
      <c r="DM47" s="214" t="s">
        <v>33</v>
      </c>
      <c r="DN47" s="248" t="s">
        <v>53</v>
      </c>
      <c r="DO47" s="216" t="e">
        <f>IF(AND(BA38&lt;&gt;0,AY38=AY39),IF(BA38=BA39,AZ53,"xxx"),"xxx")</f>
        <v>#VALUE!</v>
      </c>
      <c r="DP47" s="216" t="e">
        <f>IF(AND(BA38&lt;&gt;0,AY38=AY40),IF(BA38=BA40,BA51,"xxx"),"xxx")</f>
        <v>#VALUE!</v>
      </c>
      <c r="DQ47" s="216" t="e">
        <f>IF(AND(BA38&lt;&gt;0,AY38=AY41),IF(BA38=BA41,BB49,"xxx"),"xxx")</f>
        <v>#VALUE!</v>
      </c>
      <c r="DR47" s="249"/>
      <c r="DS47" s="226" t="e">
        <f>SUM(DN47:DR47)</f>
        <v>#VALUE!</v>
      </c>
      <c r="DT47" s="214" t="s">
        <v>33</v>
      </c>
      <c r="DU47" s="248" t="s">
        <v>53</v>
      </c>
      <c r="DV47" s="216" t="e">
        <f>IF(AND(CF47=CF48,BA38=BA39),BH53,"kkk")</f>
        <v>#VALUE!</v>
      </c>
      <c r="DW47" s="216" t="e">
        <f>IF(AND(CF47=CF49,BA38=BA40),BH51,"kkk")</f>
        <v>#VALUE!</v>
      </c>
      <c r="DX47" s="216" t="e">
        <f>IF(AND(CF47=CF50,BA38=BA41),BH49,"kkk")</f>
        <v>#VALUE!</v>
      </c>
      <c r="DY47" s="249"/>
      <c r="DZ47" s="226" t="e">
        <f>SUM(DU47:DY47)</f>
        <v>#VALUE!</v>
      </c>
      <c r="EA47" s="214" t="s">
        <v>33</v>
      </c>
      <c r="EB47" s="248" t="s">
        <v>53</v>
      </c>
      <c r="EC47" s="216" t="e">
        <f>IF(AND(CF47=CF48,BA38=BA39),BL53,"kkk")</f>
        <v>#VALUE!</v>
      </c>
      <c r="ED47" s="216" t="e">
        <f>IF(AND(CF47=CF49,BA38=BA40),BL51,"kkk")</f>
        <v>#VALUE!</v>
      </c>
      <c r="EE47" s="216" t="e">
        <f>IF(AND(CF47=CF50,BA38=BA41),BL49,"kkk")</f>
        <v>#VALUE!</v>
      </c>
      <c r="EF47" s="249"/>
      <c r="EG47" s="226" t="e">
        <f>SUM(EB47:EF47)</f>
        <v>#VALUE!</v>
      </c>
      <c r="EH47" s="214" t="s">
        <v>33</v>
      </c>
      <c r="EI47" s="248" t="s">
        <v>53</v>
      </c>
      <c r="EJ47" s="216" t="e">
        <f>IF(BD38&lt;&gt;"ùùù",IF(AND(CF47=CF48,BD38=BD39),BH53,"kkk"),"kkk")</f>
        <v>#VALUE!</v>
      </c>
      <c r="EK47" s="216" t="e">
        <f>IF(BD38&lt;&gt;"ùùù",IF(AND(CF47=CF49,BD38=BD40),BH51,"kkk"),"kkk")</f>
        <v>#VALUE!</v>
      </c>
      <c r="EL47" s="216" t="e">
        <f>IF(BD38&lt;&gt;"ùùù",IF(AND(CF47=CF50,BD38=BD41),BH49,"kkk"),"kkk")</f>
        <v>#VALUE!</v>
      </c>
      <c r="EM47" s="249"/>
      <c r="EN47" s="226" t="e">
        <f>SUM(EI47:EM47)</f>
        <v>#VALUE!</v>
      </c>
      <c r="EO47" s="214" t="s">
        <v>33</v>
      </c>
      <c r="EP47" s="248" t="s">
        <v>53</v>
      </c>
      <c r="EQ47" s="216" t="e">
        <f>IF(BD38&lt;&gt;"ùùù",IF(AND(CF47=CF48,BD38=BD39),BL53,"kkk"),"kkk")</f>
        <v>#VALUE!</v>
      </c>
      <c r="ER47" s="216" t="e">
        <f>IF(BD38&lt;&gt;"ùùù",IF(AND(CF47=CF49,BD38=BD40),BL51,"kkk"),"kkk")</f>
        <v>#VALUE!</v>
      </c>
      <c r="ES47" s="216" t="e">
        <f>IF(BD38&lt;&gt;"ùùù",IF(AND(CF47=CF50,BD38=BD41),BL49,"kkk"),"kkk")</f>
        <v>#VALUE!</v>
      </c>
      <c r="ET47" s="249"/>
      <c r="EU47" s="226" t="e">
        <f>SUM(EP47:ET47)</f>
        <v>#VALUE!</v>
      </c>
      <c r="EV47" s="214" t="s">
        <v>33</v>
      </c>
      <c r="EW47" s="248" t="s">
        <v>53</v>
      </c>
      <c r="EX47" s="216" t="e">
        <f>IF(AND(CF47=CF48,BC38=BC39),+AF53+AH53+AJ53+AL53+AN53,"xxx")</f>
        <v>#VALUE!</v>
      </c>
      <c r="EY47" s="216" t="e">
        <f>IF(AND(CF47=CF49,BC38=BC40),+AF51+AH51+AJ51+AL51+AN51,"xxx")</f>
        <v>#VALUE!</v>
      </c>
      <c r="EZ47" s="216" t="e">
        <f>IF(AND(CF47=CF50,BC38=BC41),+AF49+AH49+AJ49+AL49+AN49,"xxx")</f>
        <v>#VALUE!</v>
      </c>
      <c r="FA47" s="249"/>
      <c r="FB47" s="226" t="e">
        <f>SUM(EW47:FA47)</f>
        <v>#VALUE!</v>
      </c>
      <c r="FC47" s="214" t="s">
        <v>33</v>
      </c>
      <c r="FD47" s="248" t="s">
        <v>53</v>
      </c>
      <c r="FE47" s="216" t="e">
        <f>IF(AND(CF47=CF48,BC38=BC39),+AG53+AI53+AK53+AM53+AO53,"xxx")</f>
        <v>#VALUE!</v>
      </c>
      <c r="FF47" s="216" t="e">
        <f>IF(AND(CF47=CF49,BC38=BC40),+AG51+AI51+AK51+AM51+AO51,"xxx")</f>
        <v>#VALUE!</v>
      </c>
      <c r="FG47" s="216" t="e">
        <f>IF(AND(CF47=CF50,BC38=BC41),+AG49+AI49+AK49+AM49+AO49,"xxx")</f>
        <v>#VALUE!</v>
      </c>
      <c r="FH47" s="249"/>
      <c r="FI47" s="226" t="e">
        <f>SUM(FD47:FH47)</f>
        <v>#VALUE!</v>
      </c>
      <c r="FJ47" s="213"/>
      <c r="FK47" s="213"/>
      <c r="FL47" s="213"/>
      <c r="FM47" s="213"/>
    </row>
    <row r="48" spans="1:169" ht="27.95" customHeight="1" x14ac:dyDescent="0.2">
      <c r="A48" s="541">
        <v>2</v>
      </c>
      <c r="B48" s="420" t="s">
        <v>13</v>
      </c>
      <c r="C48" s="421">
        <v>4</v>
      </c>
      <c r="D48" s="422"/>
      <c r="E48" s="423">
        <f>E47+0.014</f>
        <v>4.2000000000000003E-2</v>
      </c>
      <c r="F48" s="424">
        <f>F45</f>
        <v>0</v>
      </c>
      <c r="G48" s="673" t="str">
        <f t="shared" si="25"/>
        <v>SAUSSEREAU Rose</v>
      </c>
      <c r="H48" s="667"/>
      <c r="I48" s="667"/>
      <c r="J48" s="667"/>
      <c r="K48" s="667"/>
      <c r="L48" s="425" t="s">
        <v>9</v>
      </c>
      <c r="M48" s="667">
        <f t="shared" si="26"/>
        <v>0</v>
      </c>
      <c r="N48" s="667"/>
      <c r="O48" s="667"/>
      <c r="P48" s="667"/>
      <c r="Q48" s="668"/>
      <c r="R48" s="321"/>
      <c r="S48" s="322"/>
      <c r="T48" s="322"/>
      <c r="U48" s="210"/>
      <c r="V48" s="210"/>
      <c r="W48" s="516"/>
      <c r="X48" s="522"/>
      <c r="Y48" s="518" t="str">
        <f>IF(AND(COUNTIF(($R48:$V48),"&gt;0")&gt;=2),1,IF(AND(COUNTIF(($R48:$V48),"&lt;0")&gt;=2),0,blanc))</f>
        <v xml:space="preserve"> </v>
      </c>
      <c r="Z48" s="426"/>
      <c r="AA48" s="525" t="str">
        <f>IF(AND(Y48=0),1,IF(AND(Y48=1),0,blanc))</f>
        <v xml:space="preserve"> </v>
      </c>
      <c r="AC48" s="747" t="s">
        <v>47</v>
      </c>
      <c r="AD48" s="748"/>
      <c r="AE48" s="323" t="s">
        <v>48</v>
      </c>
      <c r="AF48" s="324" t="s">
        <v>49</v>
      </c>
      <c r="AG48" s="216" t="s">
        <v>50</v>
      </c>
      <c r="AH48" s="216" t="s">
        <v>49</v>
      </c>
      <c r="AI48" s="216" t="s">
        <v>50</v>
      </c>
      <c r="AJ48" s="216" t="s">
        <v>49</v>
      </c>
      <c r="AK48" s="216" t="s">
        <v>50</v>
      </c>
      <c r="AL48" s="216" t="s">
        <v>49</v>
      </c>
      <c r="AM48" s="216" t="s">
        <v>50</v>
      </c>
      <c r="AN48" s="216" t="s">
        <v>49</v>
      </c>
      <c r="AO48" s="216" t="s">
        <v>50</v>
      </c>
      <c r="AP48" s="254" t="s">
        <v>33</v>
      </c>
      <c r="AQ48" s="216" t="s">
        <v>35</v>
      </c>
      <c r="AR48" s="216" t="s">
        <v>36</v>
      </c>
      <c r="AS48" s="216" t="s">
        <v>61</v>
      </c>
      <c r="AT48" s="255"/>
      <c r="AU48" s="229"/>
      <c r="AV48" s="224"/>
      <c r="AW48" s="224"/>
      <c r="AX48" s="224"/>
      <c r="AY48" s="256" t="s">
        <v>33</v>
      </c>
      <c r="AZ48" s="216" t="s">
        <v>35</v>
      </c>
      <c r="BA48" s="216" t="s">
        <v>36</v>
      </c>
      <c r="BB48" s="216" t="s">
        <v>61</v>
      </c>
      <c r="BC48" s="216">
        <v>1</v>
      </c>
      <c r="BD48" s="216">
        <v>2</v>
      </c>
      <c r="BE48" s="216">
        <v>3</v>
      </c>
      <c r="BF48" s="216">
        <v>4</v>
      </c>
      <c r="BG48" s="216">
        <v>5</v>
      </c>
      <c r="BH48" s="216" t="s">
        <v>40</v>
      </c>
      <c r="BI48" s="216" t="s">
        <v>51</v>
      </c>
      <c r="BJ48" s="216"/>
      <c r="BK48" s="216"/>
      <c r="BL48" s="216" t="s">
        <v>69</v>
      </c>
      <c r="BM48" s="216" t="s">
        <v>40</v>
      </c>
      <c r="BN48" s="216"/>
      <c r="BO48" s="257"/>
      <c r="BQ48" s="200"/>
      <c r="BR48" s="225"/>
      <c r="BS48" s="214" t="str">
        <f>AE39</f>
        <v>B</v>
      </c>
      <c r="BT48" s="214" t="e">
        <f>BW47</f>
        <v>#VALUE!</v>
      </c>
      <c r="BU48" s="214" t="str">
        <f>BV47</f>
        <v>M</v>
      </c>
      <c r="BV48" s="244"/>
      <c r="BW48" s="244"/>
      <c r="BX48" s="214" t="str">
        <f>BH50</f>
        <v>M</v>
      </c>
      <c r="BY48" s="214" t="e">
        <f>BL50</f>
        <v>#VALUE!</v>
      </c>
      <c r="BZ48" s="214" t="str">
        <f>BH52</f>
        <v>M</v>
      </c>
      <c r="CA48" s="245" t="e">
        <f>BL52</f>
        <v>#VALUE!</v>
      </c>
      <c r="CB48" s="225"/>
      <c r="CC48" s="225"/>
      <c r="CD48" s="246"/>
      <c r="CE48" s="246"/>
      <c r="CF48" s="226" t="e">
        <f t="shared" ref="CF48:CF53" si="27">SUM(CH48:CL48)</f>
        <v>#VALUE!</v>
      </c>
      <c r="CG48" s="219" t="e">
        <f t="shared" ref="CG48:CG53" si="28">SUM(CM48:CQ48)</f>
        <v>#VALUE!</v>
      </c>
      <c r="CH48" s="214" t="e">
        <f>IF(BT48&gt;BU48,1,0)</f>
        <v>#VALUE!</v>
      </c>
      <c r="CI48" s="214" t="e">
        <f>IF(BX48&gt;BY48,1,0)</f>
        <v>#VALUE!</v>
      </c>
      <c r="CJ48" s="214" t="e">
        <f>IF(BZ48&gt;CA48,1,0)</f>
        <v>#VALUE!</v>
      </c>
      <c r="CK48" s="214">
        <f>IF(CB48&gt;CC48,1,0)</f>
        <v>0</v>
      </c>
      <c r="CL48" s="214">
        <f>IF(CD48&gt;CE48,1,0)</f>
        <v>0</v>
      </c>
      <c r="CM48" s="247" t="e">
        <f>IF(BT48&lt;BU48,1,0)</f>
        <v>#VALUE!</v>
      </c>
      <c r="CN48" s="214" t="e">
        <f>IF(BX48&lt;BY48,1,0)</f>
        <v>#VALUE!</v>
      </c>
      <c r="CO48" s="214" t="e">
        <f>IF(BZ48&lt;CA48,1,0)</f>
        <v>#VALUE!</v>
      </c>
      <c r="CP48" s="214">
        <f>IF(CB48&lt;CC48,1,0)</f>
        <v>0</v>
      </c>
      <c r="CQ48" s="214">
        <f>IF(CD48&lt;CE48,1,0)</f>
        <v>0</v>
      </c>
      <c r="CR48" s="214" t="s">
        <v>35</v>
      </c>
      <c r="CS48" s="216" t="e">
        <f>IF(CF48=CF47,AZ53,"xxx")</f>
        <v>#VALUE!</v>
      </c>
      <c r="CT48" s="248" t="s">
        <v>53</v>
      </c>
      <c r="CU48" s="216" t="e">
        <f>IF(CF48=CF49,AZ50,"xxx")</f>
        <v>#VALUE!</v>
      </c>
      <c r="CV48" s="216" t="e">
        <f>IF(CF48=CF50,AZ52,"xxx")</f>
        <v>#VALUE!</v>
      </c>
      <c r="CW48" s="249"/>
      <c r="CX48" s="226" t="e">
        <f>SUM(CS48:CW48)</f>
        <v>#VALUE!</v>
      </c>
      <c r="CY48" s="214" t="s">
        <v>35</v>
      </c>
      <c r="CZ48" s="216" t="e">
        <f>IF(CF48=CF47,AY53,"xxx")</f>
        <v>#VALUE!</v>
      </c>
      <c r="DA48" s="248" t="s">
        <v>53</v>
      </c>
      <c r="DB48" s="216" t="e">
        <f>IF(CF48=CF49,BA50,"xxx")</f>
        <v>#VALUE!</v>
      </c>
      <c r="DC48" s="216" t="e">
        <f>IF(CF48=CF50,BB52,"xxx")</f>
        <v>#VALUE!</v>
      </c>
      <c r="DD48" s="249"/>
      <c r="DE48" s="226" t="e">
        <f>SUM(CZ48:DD48)</f>
        <v>#VALUE!</v>
      </c>
      <c r="DF48" s="214" t="s">
        <v>35</v>
      </c>
      <c r="DG48" s="216" t="e">
        <f>IF(AND(BA39&lt;&gt;0,AY39=AY38),IF(BA39=BA38,AZ53,"xxx"),"xxx")</f>
        <v>#VALUE!</v>
      </c>
      <c r="DH48" s="248" t="s">
        <v>53</v>
      </c>
      <c r="DI48" s="216" t="e">
        <f>IF(AND(BA39&lt;&gt;0,AY39=AY40),IF(BA39=BA40,AZ50,"xxx"),"xxx")</f>
        <v>#VALUE!</v>
      </c>
      <c r="DJ48" s="216" t="e">
        <f>IF(AND(BA39&lt;&gt;0,AY39=AY41),IF(BA39=BA41,AZ52,"xxx"),"xxx")</f>
        <v>#VALUE!</v>
      </c>
      <c r="DK48" s="249"/>
      <c r="DL48" s="226" t="e">
        <f>SUM(DG48:DK48)</f>
        <v>#VALUE!</v>
      </c>
      <c r="DM48" s="214" t="s">
        <v>35</v>
      </c>
      <c r="DN48" s="216" t="e">
        <f>IF(AND(BA39&lt;&gt;0,AY39=AY38),IF(BA39=BA38,AY53,"xxx"),"xxx")</f>
        <v>#VALUE!</v>
      </c>
      <c r="DO48" s="248" t="s">
        <v>53</v>
      </c>
      <c r="DP48" s="216" t="e">
        <f>IF(AND(BA39&lt;&gt;0,AY39=AY40),IF(BA39=BA40,BA50,"xxx"),"xxx")</f>
        <v>#VALUE!</v>
      </c>
      <c r="DQ48" s="216" t="e">
        <f>IF(AND(BA39&lt;&gt;0,AY39=AY41),IF(BA39=BA41,BB52,"xxx"),"xxx")</f>
        <v>#VALUE!</v>
      </c>
      <c r="DR48" s="249"/>
      <c r="DS48" s="226" t="e">
        <f>SUM(DN48:DR48)</f>
        <v>#VALUE!</v>
      </c>
      <c r="DT48" s="214" t="s">
        <v>35</v>
      </c>
      <c r="DU48" s="216" t="e">
        <f>IF(AND(CF48=CF47,BA39=BA38),BL53,"kkk")</f>
        <v>#VALUE!</v>
      </c>
      <c r="DV48" s="248" t="s">
        <v>53</v>
      </c>
      <c r="DW48" s="216" t="e">
        <f>IF(AND(CF48=CF49,BA39=BA40),BH50,"kkk")</f>
        <v>#VALUE!</v>
      </c>
      <c r="DX48" s="216" t="e">
        <f>IF(AND(CF48=CF50,BA39=BA41),BH52,"kkk")</f>
        <v>#VALUE!</v>
      </c>
      <c r="DY48" s="249"/>
      <c r="DZ48" s="226" t="e">
        <f>SUM(DU48:DY48)</f>
        <v>#VALUE!</v>
      </c>
      <c r="EA48" s="214" t="s">
        <v>35</v>
      </c>
      <c r="EB48" s="216" t="e">
        <f>IF(AND(CF48=CF47,BA39=BA38),BH53,"kkk")</f>
        <v>#VALUE!</v>
      </c>
      <c r="EC48" s="248" t="s">
        <v>53</v>
      </c>
      <c r="ED48" s="216" t="e">
        <f>IF(AND(CF48=CF49,BA39=BA40),BL50,"kkk")</f>
        <v>#VALUE!</v>
      </c>
      <c r="EE48" s="216" t="e">
        <f>IF(AND(CF48=CF50,BA39=BA41),BL52,"kkk")</f>
        <v>#VALUE!</v>
      </c>
      <c r="EF48" s="249"/>
      <c r="EG48" s="226" t="e">
        <f>SUM(EB48:EF48)</f>
        <v>#VALUE!</v>
      </c>
      <c r="EH48" s="214" t="s">
        <v>35</v>
      </c>
      <c r="EI48" s="216" t="e">
        <f>IF(BD39&lt;&gt;"ùùù",IF(AND(CF48=CF47,BD39=BD38),BL53,"kkk"),"kkk")</f>
        <v>#VALUE!</v>
      </c>
      <c r="EJ48" s="248" t="s">
        <v>53</v>
      </c>
      <c r="EK48" s="216" t="e">
        <f>IF(BD39&lt;&gt;"ùùù",IF(AND(CF48=CF49,BD39=BD40),BH50,"kkk"),"kkk")</f>
        <v>#VALUE!</v>
      </c>
      <c r="EL48" s="216" t="e">
        <f>IF(BD39&lt;&gt;"ùùù",IF(AND(CF48=CF50,BD39=BD41),BH52,"kkk"),"kkk")</f>
        <v>#VALUE!</v>
      </c>
      <c r="EM48" s="249"/>
      <c r="EN48" s="226" t="e">
        <f>SUM(EI48:EM48)</f>
        <v>#VALUE!</v>
      </c>
      <c r="EO48" s="214" t="s">
        <v>35</v>
      </c>
      <c r="EP48" s="216" t="e">
        <f>IF(BD39&lt;&gt;"ùùù",IF(AND(CF48=CF47,BD39=BD38),BH53,"kkk"),"kkk")</f>
        <v>#VALUE!</v>
      </c>
      <c r="EQ48" s="248" t="s">
        <v>53</v>
      </c>
      <c r="ER48" s="216" t="e">
        <f>IF(BD39&lt;&gt;"ùùù",IF(AND(CF48=CF49,BD39=BD40),BL50,"kkk"),"kkk")</f>
        <v>#VALUE!</v>
      </c>
      <c r="ES48" s="216" t="e">
        <f>IF(BD39&lt;&gt;"ùùù",IF(AND(CF48=CF50,BD39=BD41),BL52,"kkk"),"kkk")</f>
        <v>#VALUE!</v>
      </c>
      <c r="ET48" s="249"/>
      <c r="EU48" s="226" t="e">
        <f>SUM(EP48:ET48)</f>
        <v>#VALUE!</v>
      </c>
      <c r="EV48" s="214" t="s">
        <v>35</v>
      </c>
      <c r="EW48" s="216" t="e">
        <f>IF(AND(CF48=CF47,BC39=BC38),+AG53+AI53+AK53+AM53+AO53,"xxx")</f>
        <v>#VALUE!</v>
      </c>
      <c r="EX48" s="248" t="s">
        <v>53</v>
      </c>
      <c r="EY48" s="216" t="e">
        <f>IF(AND(CF48=CF49,BC39=BC40),+AF50+AH50+AJ50+AL50+AN50,"xxx")</f>
        <v>#VALUE!</v>
      </c>
      <c r="EZ48" s="216" t="e">
        <f>IF(AND(CF48=CF50,BC39=BC41),+AF52+AH52+AJ52+AL52+AN52,"xxx")</f>
        <v>#VALUE!</v>
      </c>
      <c r="FA48" s="249"/>
      <c r="FB48" s="226" t="e">
        <f>SUM(EW48:FA48)</f>
        <v>#VALUE!</v>
      </c>
      <c r="FC48" s="214" t="s">
        <v>35</v>
      </c>
      <c r="FD48" s="216" t="e">
        <f>IF(AND(CF48=CF47,BC39=BC38),+AF53+AH53+AJ53+AL53+AN53,"xxx")</f>
        <v>#VALUE!</v>
      </c>
      <c r="FE48" s="248" t="s">
        <v>53</v>
      </c>
      <c r="FF48" s="216" t="e">
        <f>IF(AND(CF48=CF49,BC39=BC40),+AG50+AI50+AK50+AM50+AO50,"xxx")</f>
        <v>#VALUE!</v>
      </c>
      <c r="FG48" s="216" t="e">
        <f>IF(AND(CF48=CF50,BC39=BC41),+AG52+AI52+AK52+AM52+AO52,"xxx")</f>
        <v>#VALUE!</v>
      </c>
      <c r="FH48" s="249"/>
      <c r="FI48" s="226" t="e">
        <f>SUM(FD48:FH48)</f>
        <v>#VALUE!</v>
      </c>
      <c r="FJ48" s="224"/>
      <c r="FK48" s="224"/>
      <c r="FL48" s="224"/>
      <c r="FM48" s="224"/>
    </row>
    <row r="49" spans="1:169" ht="27.95" customHeight="1" x14ac:dyDescent="0.2">
      <c r="A49" s="541">
        <v>1</v>
      </c>
      <c r="B49" s="420" t="s">
        <v>13</v>
      </c>
      <c r="C49" s="421">
        <v>2</v>
      </c>
      <c r="D49" s="422" t="str">
        <f>D45</f>
        <v>Sa</v>
      </c>
      <c r="E49" s="423">
        <f>E48+0.014</f>
        <v>5.6000000000000001E-2</v>
      </c>
      <c r="F49" s="424">
        <f>F45</f>
        <v>0</v>
      </c>
      <c r="G49" s="673" t="str">
        <f t="shared" si="25"/>
        <v>TARROUX Lucie</v>
      </c>
      <c r="H49" s="667"/>
      <c r="I49" s="667"/>
      <c r="J49" s="667"/>
      <c r="K49" s="667"/>
      <c r="L49" s="425" t="s">
        <v>9</v>
      </c>
      <c r="M49" s="667" t="str">
        <f t="shared" si="26"/>
        <v>SAUSSEREAU Rose</v>
      </c>
      <c r="N49" s="667"/>
      <c r="O49" s="667"/>
      <c r="P49" s="667"/>
      <c r="Q49" s="668"/>
      <c r="R49" s="211"/>
      <c r="S49" s="210"/>
      <c r="T49" s="210"/>
      <c r="U49" s="210"/>
      <c r="V49" s="210"/>
      <c r="W49" s="516"/>
      <c r="X49" s="524" t="str">
        <f>IF(AND(COUNTIF(($R49:$V49),"&gt;0")&gt;=2),1,IF(AND(COUNTIF(($R49:$V49),"&lt;0")&gt;=2),0,blanc))</f>
        <v xml:space="preserve"> </v>
      </c>
      <c r="Y49" s="518" t="str">
        <f>IF(AND(X49=0),1,IF(AND(X49=1),0,blanc))</f>
        <v xml:space="preserve"> </v>
      </c>
      <c r="Z49" s="426"/>
      <c r="AA49" s="523"/>
      <c r="AC49" s="258">
        <f>IF(AF38&lt;&gt;" ",AF38," ")</f>
        <v>1</v>
      </c>
      <c r="AD49" s="259">
        <f>IF(AF41&lt;&gt;" ",AF41," ")</f>
        <v>4</v>
      </c>
      <c r="AE49" s="260" t="str">
        <f t="shared" ref="AE49:AE54" si="29">IF(AK49&lt;&gt;0,IF(BI49&lt;0,AD49,AC49),IF(BI49=2,AC49,IF(BI49=-2,AD49," ")))</f>
        <v xml:space="preserve"> </v>
      </c>
      <c r="AF49" s="261">
        <f t="shared" ref="AF49:AF54" si="30">IF(R45=0,0,IF(R45&lt;0,-R45,IF(R45&lt;10,11,R45+2)))</f>
        <v>0</v>
      </c>
      <c r="AG49" s="262">
        <f t="shared" ref="AG49:AG54" si="31">IF(R45=0,0,IF(R45&gt;0,R45,IF(R45&gt;-10,11,-R45+2)))</f>
        <v>0</v>
      </c>
      <c r="AH49" s="259">
        <f t="shared" ref="AH49:AH54" si="32">IF(S45=0,0,IF(S45&lt;0,-S45,IF(S45&lt;10,11,S45+2)))</f>
        <v>0</v>
      </c>
      <c r="AI49" s="262">
        <f t="shared" ref="AI49:AI54" si="33">IF(S45=0,0,IF(S45&gt;0,S45,IF(S45&gt;-10,11,-S45+2)))</f>
        <v>0</v>
      </c>
      <c r="AJ49" s="263">
        <f t="shared" ref="AJ49:AJ54" si="34">IF(T45=0,0,IF(T45&lt;0,-T45,IF(T45&lt;10,11,T45+2)))</f>
        <v>0</v>
      </c>
      <c r="AK49" s="262">
        <f t="shared" ref="AK49:AK54" si="35">IF(T45=0,0,IF(T45&gt;0,T45,IF(T45&gt;-10,11,-T45+2)))</f>
        <v>0</v>
      </c>
      <c r="AL49" s="263">
        <f t="shared" ref="AL49:AL54" si="36">IF(U45=0,0,IF(U45&lt;0,-U45,IF(U45&lt;10,11,U45+2)))</f>
        <v>0</v>
      </c>
      <c r="AM49" s="262">
        <f t="shared" ref="AM49:AM54" si="37">IF(U45=0,0,IF(U45&gt;0,U45,IF(U45&gt;-10,11,-U45+2)))</f>
        <v>0</v>
      </c>
      <c r="AN49" s="263">
        <f t="shared" ref="AN49:AN54" si="38">IF(V45=0,0,IF(V45&lt;0,-V45,IF(V45&lt;10,11,V45+2)))</f>
        <v>0</v>
      </c>
      <c r="AO49" s="264">
        <f t="shared" ref="AO49:AO54" si="39">IF(V45=0,0,IF(V45&gt;0,V45,IF(V45&gt;-10,11,-V45+2)))</f>
        <v>0</v>
      </c>
      <c r="AP49" s="265">
        <f>IF(BI49&gt;0,1,0)</f>
        <v>0</v>
      </c>
      <c r="AR49" s="266"/>
      <c r="AS49" s="265">
        <f>IF(BI49&lt;0,1,0)</f>
        <v>0</v>
      </c>
      <c r="AT49" s="267"/>
      <c r="AU49" s="229"/>
      <c r="AV49" s="213"/>
      <c r="AW49" s="213"/>
      <c r="AX49" s="213"/>
      <c r="AY49" s="268">
        <f>IF(BI49&gt;0,1,0)</f>
        <v>0</v>
      </c>
      <c r="BA49" s="269"/>
      <c r="BB49" s="270">
        <f>IF(BI49&lt;0,1,0)</f>
        <v>0</v>
      </c>
      <c r="BC49" s="271">
        <f t="shared" ref="BC49:BC54" si="40">IF(AF49&lt;&gt;0,IF(AF49&gt;AG49,1,-1),0)</f>
        <v>0</v>
      </c>
      <c r="BD49" s="271">
        <f t="shared" ref="BD49:BD54" si="41">IF(AH49&lt;&gt;0,IF(AH49&gt;AI49,1,-1),0)</f>
        <v>0</v>
      </c>
      <c r="BE49" s="271">
        <f t="shared" ref="BE49:BE54" si="42">IF(AJ49&lt;&gt;0,IF(AJ49&gt;AK49,1,-1),0)</f>
        <v>0</v>
      </c>
      <c r="BF49" s="271">
        <f t="shared" ref="BF49:BF54" si="43">IF(AL49&lt;&gt;0,IF(AL49&gt;AM49,1,-1),0)</f>
        <v>0</v>
      </c>
      <c r="BG49" s="271">
        <f t="shared" ref="BG49:BG54" si="44">IF(AN49&lt;&gt;0,IF(AN49&gt;AO49,1,-1),0)</f>
        <v>0</v>
      </c>
      <c r="BH49" s="271" t="str">
        <f t="shared" ref="BH49:BH54" si="45">IF(BM49=0,"M",IF(BI49&gt;0,3,IF(BI49=0,"N",3+BI49)))</f>
        <v>M</v>
      </c>
      <c r="BI49" s="271">
        <f t="shared" ref="BI49:BI54" si="46">SUM(BC49:BG49)</f>
        <v>0</v>
      </c>
      <c r="BJ49" s="271"/>
      <c r="BK49" s="271"/>
      <c r="BL49" s="271" t="e">
        <f t="shared" ref="BL49:BL54" si="47">BM49-BH49</f>
        <v>#VALUE!</v>
      </c>
      <c r="BM49" s="271">
        <f t="shared" ref="BM49:BM54" si="48">ABS(BC49)+ABS(BD49)+ABS(BE49)+ABS(BF49)+ABS(BG49)</f>
        <v>0</v>
      </c>
      <c r="BN49" s="271"/>
      <c r="BO49" s="272"/>
      <c r="BQ49" s="200"/>
      <c r="BR49" s="225"/>
      <c r="BS49" s="214" t="str">
        <f>AE40</f>
        <v>C</v>
      </c>
      <c r="BT49" s="214" t="e">
        <f>BY47</f>
        <v>#VALUE!</v>
      </c>
      <c r="BU49" s="214" t="str">
        <f>BX47</f>
        <v>M</v>
      </c>
      <c r="BV49" s="214" t="e">
        <f>BY48</f>
        <v>#VALUE!</v>
      </c>
      <c r="BW49" s="214" t="str">
        <f>BX48</f>
        <v>M</v>
      </c>
      <c r="BX49" s="244"/>
      <c r="BY49" s="244"/>
      <c r="BZ49" s="214" t="str">
        <f>BH54</f>
        <v>M</v>
      </c>
      <c r="CA49" s="245" t="e">
        <f>BL54</f>
        <v>#VALUE!</v>
      </c>
      <c r="CB49" s="225"/>
      <c r="CC49" s="225"/>
      <c r="CD49" s="246"/>
      <c r="CE49" s="246"/>
      <c r="CF49" s="226" t="e">
        <f t="shared" si="27"/>
        <v>#VALUE!</v>
      </c>
      <c r="CG49" s="219" t="e">
        <f t="shared" si="28"/>
        <v>#VALUE!</v>
      </c>
      <c r="CH49" s="214" t="e">
        <f>IF(BT49&gt;BU49,1,0)</f>
        <v>#VALUE!</v>
      </c>
      <c r="CI49" s="214" t="e">
        <f>IF(BV49&gt;BW49,1,0)</f>
        <v>#VALUE!</v>
      </c>
      <c r="CJ49" s="214" t="e">
        <f>IF(BZ49&gt;CA49,1,0)</f>
        <v>#VALUE!</v>
      </c>
      <c r="CK49" s="214">
        <f>IF(CB49&gt;CC49,1,0)</f>
        <v>0</v>
      </c>
      <c r="CL49" s="214">
        <f>IF(CD49&gt;CE49,1,0)</f>
        <v>0</v>
      </c>
      <c r="CM49" s="247" t="e">
        <f>IF(BT49&lt;BU49,1,0)</f>
        <v>#VALUE!</v>
      </c>
      <c r="CN49" s="214" t="e">
        <f>IF(BV49&lt;BW49,1,0)</f>
        <v>#VALUE!</v>
      </c>
      <c r="CO49" s="214" t="e">
        <f>IF(BZ49&lt;CA49,1,0)</f>
        <v>#VALUE!</v>
      </c>
      <c r="CP49" s="214">
        <f>IF(CB49&lt;CC49,1,0)</f>
        <v>0</v>
      </c>
      <c r="CQ49" s="214">
        <f>IF(CD49&lt;CE49,1,0)</f>
        <v>0</v>
      </c>
      <c r="CR49" s="214" t="s">
        <v>36</v>
      </c>
      <c r="CS49" s="216" t="e">
        <f>IF(CF49=CF47,BA51,"xxx")</f>
        <v>#VALUE!</v>
      </c>
      <c r="CT49" s="216" t="e">
        <f>IF(CF49=CF48,BA50,"xxx")</f>
        <v>#VALUE!</v>
      </c>
      <c r="CU49" s="248" t="s">
        <v>53</v>
      </c>
      <c r="CV49" s="216" t="e">
        <f>IF(CF49=CF50,BA54,"xxx")</f>
        <v>#VALUE!</v>
      </c>
      <c r="CW49" s="249"/>
      <c r="CX49" s="226" t="e">
        <f>SUM(CS49:CW49)</f>
        <v>#VALUE!</v>
      </c>
      <c r="CY49" s="214" t="s">
        <v>36</v>
      </c>
      <c r="CZ49" s="216" t="e">
        <f>IF(CF49=CF47,AY51,"xxx")</f>
        <v>#VALUE!</v>
      </c>
      <c r="DA49" s="216" t="e">
        <f>IF(CF49=CF48,AZ50,"xxx")</f>
        <v>#VALUE!</v>
      </c>
      <c r="DB49" s="248" t="s">
        <v>53</v>
      </c>
      <c r="DC49" s="216" t="e">
        <f>IF(CF49=CF50,BB54,"xxx")</f>
        <v>#VALUE!</v>
      </c>
      <c r="DD49" s="249"/>
      <c r="DE49" s="226" t="e">
        <f>SUM(CZ49:DD49)</f>
        <v>#VALUE!</v>
      </c>
      <c r="DF49" s="214" t="s">
        <v>36</v>
      </c>
      <c r="DG49" s="216" t="e">
        <f>IF(AND(BA40&lt;&gt;0,AY40=AY38),IF(BA40=BA38,BA51,"xxx"),"xxx")</f>
        <v>#VALUE!</v>
      </c>
      <c r="DH49" s="216" t="e">
        <f>IF(AND(BA40&lt;&gt;0,AY40=AY39),IF(BA40=BA39,BA50,"xxx"),"xxx")</f>
        <v>#VALUE!</v>
      </c>
      <c r="DI49" s="248" t="s">
        <v>53</v>
      </c>
      <c r="DJ49" s="216" t="e">
        <f>IF(AND(BA40&lt;&gt;0,AY40=AY41),IF(BA40=BA41,BA54,"xxx"),"xxx")</f>
        <v>#VALUE!</v>
      </c>
      <c r="DK49" s="249"/>
      <c r="DL49" s="226" t="e">
        <f>SUM(DG49:DK49)</f>
        <v>#VALUE!</v>
      </c>
      <c r="DM49" s="214" t="s">
        <v>36</v>
      </c>
      <c r="DN49" s="216" t="e">
        <f>IF(AND(BA40&lt;&gt;0,AY40=AY38),IF(BA40=BA38,AY51,"xxx"),"xxx")</f>
        <v>#VALUE!</v>
      </c>
      <c r="DO49" s="216" t="e">
        <f>IF(AND(BA40&lt;&gt;0,AY40=AY39),IF(BA40=BA39,AZ50,"xxx"),"xxx")</f>
        <v>#VALUE!</v>
      </c>
      <c r="DP49" s="248" t="s">
        <v>53</v>
      </c>
      <c r="DQ49" s="216" t="e">
        <f>IF(AND(BA40&lt;&gt;0,AY40=AY41),IF(BA40=BA41,BB54,"xxx"),"xxx")</f>
        <v>#VALUE!</v>
      </c>
      <c r="DR49" s="249"/>
      <c r="DS49" s="226" t="e">
        <f>SUM(DN49:DR49)</f>
        <v>#VALUE!</v>
      </c>
      <c r="DT49" s="214" t="s">
        <v>36</v>
      </c>
      <c r="DU49" s="216" t="e">
        <f>IF(AND(CF49=CF47,BA40=BA38),BL51,"kkk")</f>
        <v>#VALUE!</v>
      </c>
      <c r="DV49" s="216" t="e">
        <f>IF(AND(CF49=CF48,BA40=BA39),BL50,"kkk")</f>
        <v>#VALUE!</v>
      </c>
      <c r="DW49" s="248" t="s">
        <v>53</v>
      </c>
      <c r="DX49" s="216" t="e">
        <f>IF(AND(CF49=CF50,BA40=BA41),BH54,"kkk")</f>
        <v>#VALUE!</v>
      </c>
      <c r="DY49" s="249"/>
      <c r="DZ49" s="226" t="e">
        <f>SUM(DU49:DY49)</f>
        <v>#VALUE!</v>
      </c>
      <c r="EA49" s="214" t="s">
        <v>36</v>
      </c>
      <c r="EB49" s="216" t="e">
        <f>IF(AND(CF49=CF47,BA40=BA38),BH51,"kkk")</f>
        <v>#VALUE!</v>
      </c>
      <c r="EC49" s="216" t="e">
        <f>IF(AND(CF49=CF48,BA40=BA39),BH50,"kkk")</f>
        <v>#VALUE!</v>
      </c>
      <c r="ED49" s="248" t="s">
        <v>53</v>
      </c>
      <c r="EE49" s="216" t="e">
        <f>IF(AND(CF49=CF50,BA40=BA41),BL54,"kkk")</f>
        <v>#VALUE!</v>
      </c>
      <c r="EF49" s="249"/>
      <c r="EG49" s="226" t="e">
        <f>SUM(EB49:EF49)</f>
        <v>#VALUE!</v>
      </c>
      <c r="EH49" s="214" t="s">
        <v>36</v>
      </c>
      <c r="EI49" s="216" t="e">
        <f>IF(BD40&lt;&gt;"ùùù",IF(AND(CF49=CF47,BD40=BD38),BL51,"kkk"),"kkk")</f>
        <v>#VALUE!</v>
      </c>
      <c r="EJ49" s="216" t="e">
        <f>IF(BD40&lt;&gt;"ùùù",IF(AND(CF49=CF48,BD40=BD39),BL50,"kkk"),"kkk")</f>
        <v>#VALUE!</v>
      </c>
      <c r="EK49" s="248" t="s">
        <v>53</v>
      </c>
      <c r="EL49" s="216" t="e">
        <f>IF(BD40&lt;&gt;"ùùù",IF(AND(CF49=CF50,BD40=BD41),BH54,"kkk"),"kkk")</f>
        <v>#VALUE!</v>
      </c>
      <c r="EM49" s="249"/>
      <c r="EN49" s="226" t="e">
        <f>SUM(EI49:EM49)</f>
        <v>#VALUE!</v>
      </c>
      <c r="EO49" s="214" t="s">
        <v>36</v>
      </c>
      <c r="EP49" s="216" t="e">
        <f>IF(BD40&lt;&gt;"ùùù",IF(AND(CF49=CF47,BD40=BD38),BH51,"kkk"),"kkk")</f>
        <v>#VALUE!</v>
      </c>
      <c r="EQ49" s="216" t="e">
        <f>IF(BD40&lt;&gt;"ùùù",IF(AND(CF49=CF48,BD40=BD39),BH50,"kkk"),"kkk")</f>
        <v>#VALUE!</v>
      </c>
      <c r="ER49" s="248" t="s">
        <v>53</v>
      </c>
      <c r="ES49" s="216" t="e">
        <f>IF(BD40&lt;&gt;"ùùù",IF(AND(CF49=CF50,BD40=BD41),BL54,"kkk"),"kkk")</f>
        <v>#VALUE!</v>
      </c>
      <c r="ET49" s="249"/>
      <c r="EU49" s="226" t="e">
        <f>SUM(EP49:ET49)</f>
        <v>#VALUE!</v>
      </c>
      <c r="EV49" s="214" t="s">
        <v>36</v>
      </c>
      <c r="EW49" s="216" t="e">
        <f>IF(AND(CF49=CF47,BC40=BC38),+AG51+AI51+AK51+AM51+AO51,"xxx")</f>
        <v>#VALUE!</v>
      </c>
      <c r="EX49" s="216" t="e">
        <f>IF(AND(CF49=CF48,BC40=BC39),+AG50+AI50+AK50+AM50+AO50,"xxx")</f>
        <v>#VALUE!</v>
      </c>
      <c r="EY49" s="248" t="s">
        <v>53</v>
      </c>
      <c r="EZ49" s="216" t="e">
        <f>IF(AND(CF49=CF50,BC40=BC41),+AF54+AH54+AJ54+AL54+AN54,"xxx")</f>
        <v>#VALUE!</v>
      </c>
      <c r="FA49" s="249"/>
      <c r="FB49" s="226" t="e">
        <f>SUM(EW49:FA49)</f>
        <v>#VALUE!</v>
      </c>
      <c r="FC49" s="214" t="s">
        <v>36</v>
      </c>
      <c r="FD49" s="216" t="e">
        <f>IF(AND(CF49=CF47,BC40=BC38),+AF51+AH51+AJ51+AL51+AN51,"xxx")</f>
        <v>#VALUE!</v>
      </c>
      <c r="FE49" s="216" t="e">
        <f>IF(AND(CF49=CF48,BC40=BC39),+AF50+AH50+AJ50+AL50+AN50,"xxx")</f>
        <v>#VALUE!</v>
      </c>
      <c r="FF49" s="248" t="s">
        <v>53</v>
      </c>
      <c r="FG49" s="216" t="e">
        <f>IF(AND(CF49=CF50,BC40=BC41),+AG54+AI54+AK54+AM54+AO54,"xxx")</f>
        <v>#VALUE!</v>
      </c>
      <c r="FH49" s="249"/>
      <c r="FI49" s="226" t="e">
        <f>SUM(FD49:FH49)</f>
        <v>#VALUE!</v>
      </c>
      <c r="FJ49" s="213"/>
      <c r="FK49" s="213"/>
      <c r="FL49" s="213"/>
      <c r="FM49" s="213"/>
    </row>
    <row r="50" spans="1:169" ht="27.95" customHeight="1" thickBot="1" x14ac:dyDescent="0.25">
      <c r="A50" s="411">
        <v>3</v>
      </c>
      <c r="B50" s="399" t="s">
        <v>13</v>
      </c>
      <c r="C50" s="542">
        <v>4</v>
      </c>
      <c r="D50" s="543"/>
      <c r="E50" s="544">
        <f>E49+0.014</f>
        <v>7.0000000000000007E-2</v>
      </c>
      <c r="F50" s="545">
        <f>F45</f>
        <v>0</v>
      </c>
      <c r="G50" s="674" t="str">
        <f t="shared" si="25"/>
        <v>HEROUF Elise</v>
      </c>
      <c r="H50" s="669"/>
      <c r="I50" s="669"/>
      <c r="J50" s="669"/>
      <c r="K50" s="669"/>
      <c r="L50" s="403" t="s">
        <v>9</v>
      </c>
      <c r="M50" s="669">
        <f t="shared" si="26"/>
        <v>0</v>
      </c>
      <c r="N50" s="669"/>
      <c r="O50" s="669"/>
      <c r="P50" s="669"/>
      <c r="Q50" s="670"/>
      <c r="R50" s="537"/>
      <c r="S50" s="538"/>
      <c r="T50" s="538"/>
      <c r="U50" s="539"/>
      <c r="V50" s="539"/>
      <c r="W50" s="516"/>
      <c r="X50" s="526"/>
      <c r="Y50" s="527"/>
      <c r="Z50" s="528" t="str">
        <f>IF(AND(COUNTIF(($R50:$V50),"&gt;0")&gt;=2),1,IF(AND(COUNTIF(($R50:$V50),"&lt;0")&gt;=2),0,blanc))</f>
        <v xml:space="preserve"> </v>
      </c>
      <c r="AA50" s="529" t="str">
        <f>IF(AND(Z50=0),1,IF(AND(Z50=1),0,blanc))</f>
        <v xml:space="preserve"> </v>
      </c>
      <c r="AC50" s="273">
        <f>IF(AF39&lt;&gt;" ",AF39," ")</f>
        <v>2</v>
      </c>
      <c r="AD50" s="274">
        <f>IF(AF40&lt;&gt;" ",AF40," ")</f>
        <v>3</v>
      </c>
      <c r="AE50" s="275" t="str">
        <f t="shared" si="29"/>
        <v xml:space="preserve"> </v>
      </c>
      <c r="AF50" s="261">
        <f t="shared" si="30"/>
        <v>0</v>
      </c>
      <c r="AG50" s="262">
        <f t="shared" si="31"/>
        <v>0</v>
      </c>
      <c r="AH50" s="259">
        <f t="shared" si="32"/>
        <v>0</v>
      </c>
      <c r="AI50" s="262">
        <f t="shared" si="33"/>
        <v>0</v>
      </c>
      <c r="AJ50" s="263">
        <f t="shared" si="34"/>
        <v>0</v>
      </c>
      <c r="AK50" s="262">
        <f t="shared" si="35"/>
        <v>0</v>
      </c>
      <c r="AL50" s="263">
        <f t="shared" si="36"/>
        <v>0</v>
      </c>
      <c r="AM50" s="262">
        <f t="shared" si="37"/>
        <v>0</v>
      </c>
      <c r="AN50" s="263">
        <f t="shared" si="38"/>
        <v>0</v>
      </c>
      <c r="AO50" s="264">
        <f t="shared" si="39"/>
        <v>0</v>
      </c>
      <c r="AP50" s="276"/>
      <c r="AQ50" s="277">
        <f>IF(BI50&gt;0,1,0)</f>
        <v>0</v>
      </c>
      <c r="AR50" s="277">
        <f>IF(BI50&lt;0,1,0)</f>
        <v>0</v>
      </c>
      <c r="AT50" s="278"/>
      <c r="AU50" s="229"/>
      <c r="AV50" s="213"/>
      <c r="AW50" s="213"/>
      <c r="AX50" s="213"/>
      <c r="AY50" s="279"/>
      <c r="AZ50" s="280">
        <f>IF(BI50&gt;0,1,0)</f>
        <v>0</v>
      </c>
      <c r="BA50" s="280">
        <f>IF(BI50&lt;0,1,0)</f>
        <v>0</v>
      </c>
      <c r="BB50" s="281"/>
      <c r="BC50" s="216">
        <f t="shared" si="40"/>
        <v>0</v>
      </c>
      <c r="BD50" s="216">
        <f t="shared" si="41"/>
        <v>0</v>
      </c>
      <c r="BE50" s="216">
        <f t="shared" si="42"/>
        <v>0</v>
      </c>
      <c r="BF50" s="216">
        <f t="shared" si="43"/>
        <v>0</v>
      </c>
      <c r="BG50" s="216">
        <f t="shared" si="44"/>
        <v>0</v>
      </c>
      <c r="BH50" s="216" t="str">
        <f t="shared" si="45"/>
        <v>M</v>
      </c>
      <c r="BI50" s="216">
        <f t="shared" si="46"/>
        <v>0</v>
      </c>
      <c r="BJ50" s="216"/>
      <c r="BK50" s="216"/>
      <c r="BL50" s="216" t="e">
        <f t="shared" si="47"/>
        <v>#VALUE!</v>
      </c>
      <c r="BM50" s="216">
        <f t="shared" si="48"/>
        <v>0</v>
      </c>
      <c r="BN50" s="216"/>
      <c r="BO50" s="257"/>
      <c r="BQ50" s="200"/>
      <c r="BR50" s="225"/>
      <c r="BS50" s="214" t="str">
        <f>AE41</f>
        <v>D</v>
      </c>
      <c r="BT50" s="214" t="e">
        <f>CA47</f>
        <v>#VALUE!</v>
      </c>
      <c r="BU50" s="214" t="str">
        <f>BZ47</f>
        <v>M</v>
      </c>
      <c r="BV50" s="214" t="e">
        <f>CA48</f>
        <v>#VALUE!</v>
      </c>
      <c r="BW50" s="214" t="str">
        <f>BZ48</f>
        <v>M</v>
      </c>
      <c r="BX50" s="214" t="e">
        <f>CA49</f>
        <v>#VALUE!</v>
      </c>
      <c r="BY50" s="214" t="str">
        <f>BZ49</f>
        <v>M</v>
      </c>
      <c r="BZ50" s="244"/>
      <c r="CA50" s="282"/>
      <c r="CB50" s="225"/>
      <c r="CC50" s="225"/>
      <c r="CD50" s="246"/>
      <c r="CE50" s="246"/>
      <c r="CF50" s="226" t="e">
        <f t="shared" si="27"/>
        <v>#VALUE!</v>
      </c>
      <c r="CG50" s="219" t="e">
        <f t="shared" si="28"/>
        <v>#VALUE!</v>
      </c>
      <c r="CH50" s="283" t="e">
        <f>IF(BT50&gt;BU50,1,0)</f>
        <v>#VALUE!</v>
      </c>
      <c r="CI50" s="283" t="e">
        <f>IF(BV50&gt;BW50,1,0)</f>
        <v>#VALUE!</v>
      </c>
      <c r="CJ50" s="283" t="e">
        <f>IF(BX50&gt;BY50,1,0)</f>
        <v>#VALUE!</v>
      </c>
      <c r="CK50" s="283">
        <f>IF(CB50&gt;CC50,1,0)</f>
        <v>0</v>
      </c>
      <c r="CL50" s="283">
        <f>IF(CD50&gt;CE50,1,0)</f>
        <v>0</v>
      </c>
      <c r="CM50" s="284" t="e">
        <f>IF(BT50&lt;BU50,1,0)</f>
        <v>#VALUE!</v>
      </c>
      <c r="CN50" s="283" t="e">
        <f>IF(BV50&lt;BW50,1,0)</f>
        <v>#VALUE!</v>
      </c>
      <c r="CO50" s="283" t="e">
        <f>IF(BX50&lt;BY50,1,0)</f>
        <v>#VALUE!</v>
      </c>
      <c r="CP50" s="283">
        <f>IF(CB50&lt;CC50,1,0)</f>
        <v>0</v>
      </c>
      <c r="CQ50" s="283">
        <f>IF(CD50&lt;CE50,1,0)</f>
        <v>0</v>
      </c>
      <c r="CR50" s="283" t="s">
        <v>61</v>
      </c>
      <c r="CS50" s="252" t="e">
        <f>IF(CF50=CF47,BB49,"xxx")</f>
        <v>#VALUE!</v>
      </c>
      <c r="CT50" s="252" t="e">
        <f>IF(CF50=CF48,BB52,"xxx")</f>
        <v>#VALUE!</v>
      </c>
      <c r="CU50" s="252" t="e">
        <f>IF(CF50=CF49,BB54,"xxx")</f>
        <v>#VALUE!</v>
      </c>
      <c r="CV50" s="285" t="s">
        <v>53</v>
      </c>
      <c r="CW50" s="286"/>
      <c r="CX50" s="226" t="e">
        <f>SUM(CS50:CW50)</f>
        <v>#VALUE!</v>
      </c>
      <c r="CY50" s="283" t="s">
        <v>61</v>
      </c>
      <c r="CZ50" s="252" t="e">
        <f>IF(CF50=CF47,AY49,"xxx")</f>
        <v>#VALUE!</v>
      </c>
      <c r="DA50" s="252" t="e">
        <f>IF(CF50=CF48,AZ52,"xxx")</f>
        <v>#VALUE!</v>
      </c>
      <c r="DB50" s="252" t="e">
        <f>IF(CF50=CF49,BA54,"xxx")</f>
        <v>#VALUE!</v>
      </c>
      <c r="DC50" s="285" t="s">
        <v>53</v>
      </c>
      <c r="DD50" s="286"/>
      <c r="DE50" s="287" t="e">
        <f>SUM(CZ50:DD50)</f>
        <v>#VALUE!</v>
      </c>
      <c r="DF50" s="283" t="s">
        <v>61</v>
      </c>
      <c r="DG50" s="252" t="e">
        <f>IF(AND(BA41&lt;&gt;0,AY41=AY38),IF(BA41=BA38,BB49,"xxx"),"xxx")</f>
        <v>#VALUE!</v>
      </c>
      <c r="DH50" s="252" t="e">
        <f>IF(AND(BA41&lt;&gt;0,AY41=AY39),IF(BA41=BA39,BB52,"xxx"),"xxx")</f>
        <v>#VALUE!</v>
      </c>
      <c r="DI50" s="252" t="e">
        <f>IF(AND(BA41&lt;&gt;0,AY41=AY40),IF(BA41=BA40,BB54,"xxx"),"xxx")</f>
        <v>#VALUE!</v>
      </c>
      <c r="DJ50" s="285" t="s">
        <v>53</v>
      </c>
      <c r="DK50" s="286"/>
      <c r="DL50" s="226" t="e">
        <f>SUM(DG50:DK50)</f>
        <v>#VALUE!</v>
      </c>
      <c r="DM50" s="283" t="s">
        <v>61</v>
      </c>
      <c r="DN50" s="252" t="e">
        <f>IF(AND(BA41&lt;&gt;0,AY41=AY38),IF(BA41=BA38,AY49,"xxx"),"xxx")</f>
        <v>#VALUE!</v>
      </c>
      <c r="DO50" s="252" t="e">
        <f>IF(AND(BA41&lt;&gt;0,AY41=AY39),IF(BA41=BA39,AZ52,"xxx"),"xxx")</f>
        <v>#VALUE!</v>
      </c>
      <c r="DP50" s="252" t="e">
        <f>IF(AND(BA41&lt;&gt;0,AY41=AY40),IF(BA41=BA40,BA54,"xxx"),"xxx")</f>
        <v>#VALUE!</v>
      </c>
      <c r="DQ50" s="285" t="s">
        <v>53</v>
      </c>
      <c r="DR50" s="286"/>
      <c r="DS50" s="226" t="e">
        <f>SUM(DN50:DR50)</f>
        <v>#VALUE!</v>
      </c>
      <c r="DT50" s="283" t="s">
        <v>61</v>
      </c>
      <c r="DU50" s="252" t="e">
        <f>IF(AND(CF50=CF47,BA41=BA38),BL49,"kkk")</f>
        <v>#VALUE!</v>
      </c>
      <c r="DV50" s="252" t="e">
        <f>IF(AND(CF50=CF48,BA41=BA39),BL52,"kkk")</f>
        <v>#VALUE!</v>
      </c>
      <c r="DW50" s="252" t="e">
        <f>IF(AND(CF50=CF49,BA41=BA40),BL54,"kkk")</f>
        <v>#VALUE!</v>
      </c>
      <c r="DX50" s="285" t="s">
        <v>53</v>
      </c>
      <c r="DY50" s="286"/>
      <c r="DZ50" s="226" t="e">
        <f>SUM(DU50:DY50)</f>
        <v>#VALUE!</v>
      </c>
      <c r="EA50" s="283" t="s">
        <v>61</v>
      </c>
      <c r="EB50" s="252" t="e">
        <f>IF(AND(CF50=CF47,BA41=BA38),BH49,"kkk")</f>
        <v>#VALUE!</v>
      </c>
      <c r="EC50" s="252" t="e">
        <f>IF(AND(CF50=CF48,BA41=BA39),BH52,"kkk")</f>
        <v>#VALUE!</v>
      </c>
      <c r="ED50" s="252" t="e">
        <f>IF(AND(CF50=CF49,BA41=BA40),BH54,"kkk")</f>
        <v>#VALUE!</v>
      </c>
      <c r="EE50" s="285" t="s">
        <v>53</v>
      </c>
      <c r="EF50" s="286"/>
      <c r="EG50" s="226" t="e">
        <f>SUM(EB50:EF50)</f>
        <v>#VALUE!</v>
      </c>
      <c r="EH50" s="283" t="s">
        <v>61</v>
      </c>
      <c r="EI50" s="252" t="e">
        <f>IF(BD41&lt;&gt;"ùùù",IF(AND(CF50=CF47,BD41=BD38),BL49,"kkk"),"kkk")</f>
        <v>#VALUE!</v>
      </c>
      <c r="EJ50" s="252" t="e">
        <f>IF(BD41&lt;&gt;"ùùù",IF(AND(CF50=CF48,BD41=BD39),BL52,"kkk"),"kkk")</f>
        <v>#VALUE!</v>
      </c>
      <c r="EK50" s="252" t="e">
        <f>IF(BD41&lt;&gt;"ùùù",IF(AND(CF50=CF49,BD41=BD40),BL54,"kkk"),"kkk")</f>
        <v>#VALUE!</v>
      </c>
      <c r="EL50" s="285" t="s">
        <v>53</v>
      </c>
      <c r="EM50" s="286"/>
      <c r="EN50" s="226" t="e">
        <f>SUM(EI50:EM50)</f>
        <v>#VALUE!</v>
      </c>
      <c r="EO50" s="283" t="s">
        <v>61</v>
      </c>
      <c r="EP50" s="252" t="e">
        <f>IF(BD41&lt;&gt;"ùùù",IF(AND(CF50=CF47,BD41=BD38),BH49,"kkk"),"kkk")</f>
        <v>#VALUE!</v>
      </c>
      <c r="EQ50" s="252" t="e">
        <f>IF(BD41&lt;&gt;"ùùù",IF(AND(CF50=CF48,BD41=BD39),BH52,"kkk"),"kkk")</f>
        <v>#VALUE!</v>
      </c>
      <c r="ER50" s="252" t="e">
        <f>IF(BD41&lt;&gt;"ùùù",IF(AND(CF50=CF49,BD41=BD40),BH54,"kkk"),"kkk")</f>
        <v>#VALUE!</v>
      </c>
      <c r="ES50" s="285" t="s">
        <v>53</v>
      </c>
      <c r="ET50" s="286"/>
      <c r="EU50" s="226" t="e">
        <f>SUM(EP50:ET50)</f>
        <v>#VALUE!</v>
      </c>
      <c r="EV50" s="283" t="s">
        <v>61</v>
      </c>
      <c r="EW50" s="252" t="e">
        <f>IF(AND(CF50=CF47,BC41=BC38),+AG49+AI49+AK49+AM49+AO49,"xxx")</f>
        <v>#VALUE!</v>
      </c>
      <c r="EX50" s="252" t="e">
        <f>IF(AND(CF50=CF48,BC41=BC39),+AG52+AI52+AK52+AM52+AO52,"xxx")</f>
        <v>#VALUE!</v>
      </c>
      <c r="EY50" s="252" t="e">
        <f>IF(AND(CF50=CF49,BC40=BC41),+AG54+AI54+AK54+AM54+AO54,"xxx")</f>
        <v>#VALUE!</v>
      </c>
      <c r="EZ50" s="285" t="s">
        <v>53</v>
      </c>
      <c r="FA50" s="286"/>
      <c r="FB50" s="226" t="e">
        <f>SUM(EW50:FA50)</f>
        <v>#VALUE!</v>
      </c>
      <c r="FC50" s="283" t="s">
        <v>61</v>
      </c>
      <c r="FD50" s="252" t="e">
        <f>IF(AND(CF50=CF47,BC41=BC38),+AF49+AH49+AJ49+AL49+AN49,"xxx")</f>
        <v>#VALUE!</v>
      </c>
      <c r="FE50" s="252" t="e">
        <f>IF(AND(CF50=CF48,BC41=BC39),+AF52+AH52+AJ52+AL52+AN52,"xxx")</f>
        <v>#VALUE!</v>
      </c>
      <c r="FF50" s="252" t="e">
        <f>IF(AND(CF50=CF49,BC41=BC40),+AF54+AH54+AJ54+AL54+AN54,"xxx")</f>
        <v>#VALUE!</v>
      </c>
      <c r="FG50" s="285" t="s">
        <v>53</v>
      </c>
      <c r="FH50" s="286"/>
      <c r="FI50" s="226" t="e">
        <f>SUM(FD50:FH50)</f>
        <v>#VALUE!</v>
      </c>
      <c r="FJ50" s="213"/>
      <c r="FK50" s="213"/>
      <c r="FL50" s="213"/>
      <c r="FM50" s="213"/>
    </row>
    <row r="51" spans="1:169" ht="21.95" customHeight="1" x14ac:dyDescent="0.2">
      <c r="A51" s="394"/>
      <c r="B51" s="388"/>
      <c r="C51" s="427"/>
      <c r="D51" s="427"/>
      <c r="E51" s="427"/>
      <c r="F51" s="427"/>
      <c r="G51" s="388"/>
      <c r="H51" s="390"/>
      <c r="I51" s="390"/>
      <c r="J51" s="390"/>
      <c r="K51" s="390"/>
      <c r="L51" s="428">
        <v>6</v>
      </c>
      <c r="M51" s="396"/>
      <c r="N51" s="428" t="s">
        <v>3</v>
      </c>
      <c r="O51" s="751" t="s">
        <v>17</v>
      </c>
      <c r="P51" s="752"/>
      <c r="Q51" s="752"/>
      <c r="R51" s="729"/>
      <c r="S51" s="729"/>
      <c r="T51" s="729"/>
      <c r="U51" s="729"/>
      <c r="V51" s="730"/>
      <c r="W51" s="517"/>
      <c r="X51" s="530" t="str">
        <f>IF(X45=blanc,blanc,SUM(X45:X50))</f>
        <v xml:space="preserve"> </v>
      </c>
      <c r="Y51" s="531" t="str">
        <f>IF(X45=blanc,blanc,SUM(Y45:Y50))</f>
        <v xml:space="preserve"> </v>
      </c>
      <c r="Z51" s="531" t="str">
        <f>IF(X45=blanc,blanc,SUM(Z45:Z50))</f>
        <v xml:space="preserve"> </v>
      </c>
      <c r="AA51" s="532" t="str">
        <f>IF(X45=blanc,blanc,SUM(AA45:AA50))</f>
        <v xml:space="preserve"> </v>
      </c>
      <c r="AB51" s="398">
        <f>SUM(X51:AA51)</f>
        <v>0</v>
      </c>
      <c r="AC51" s="273">
        <f>IF(AF38&lt;&gt;" ",AF38," ")</f>
        <v>1</v>
      </c>
      <c r="AD51" s="274">
        <f>IF(AF40&lt;&gt;" ",AF40," ")</f>
        <v>3</v>
      </c>
      <c r="AE51" s="275" t="str">
        <f t="shared" si="29"/>
        <v xml:space="preserve"> </v>
      </c>
      <c r="AF51" s="261">
        <f t="shared" si="30"/>
        <v>0</v>
      </c>
      <c r="AG51" s="262">
        <f t="shared" si="31"/>
        <v>0</v>
      </c>
      <c r="AH51" s="259">
        <f t="shared" si="32"/>
        <v>0</v>
      </c>
      <c r="AI51" s="262">
        <f t="shared" si="33"/>
        <v>0</v>
      </c>
      <c r="AJ51" s="263">
        <f t="shared" si="34"/>
        <v>0</v>
      </c>
      <c r="AK51" s="262">
        <f t="shared" si="35"/>
        <v>0</v>
      </c>
      <c r="AL51" s="263">
        <f t="shared" si="36"/>
        <v>0</v>
      </c>
      <c r="AM51" s="262">
        <f t="shared" si="37"/>
        <v>0</v>
      </c>
      <c r="AN51" s="263">
        <f t="shared" si="38"/>
        <v>0</v>
      </c>
      <c r="AO51" s="264">
        <f t="shared" si="39"/>
        <v>0</v>
      </c>
      <c r="AP51" s="288">
        <f>IF(BI51&gt;0,1,0)</f>
        <v>0</v>
      </c>
      <c r="AQ51" s="289"/>
      <c r="AR51" s="290">
        <f>IF(BI51&lt;0,1,0)</f>
        <v>0</v>
      </c>
      <c r="AS51" s="291"/>
      <c r="AT51" s="267"/>
      <c r="AU51" s="229"/>
      <c r="AV51" s="213"/>
      <c r="AW51" s="213"/>
      <c r="AX51" s="213"/>
      <c r="AY51" s="292">
        <f>IF(BI51&gt;0,1,0)</f>
        <v>0</v>
      </c>
      <c r="AZ51" s="293"/>
      <c r="BA51" s="280">
        <f>IF(BI51&lt;0,1,0)</f>
        <v>0</v>
      </c>
      <c r="BB51" s="294"/>
      <c r="BC51" s="216">
        <f t="shared" si="40"/>
        <v>0</v>
      </c>
      <c r="BD51" s="216">
        <f t="shared" si="41"/>
        <v>0</v>
      </c>
      <c r="BE51" s="216">
        <f t="shared" si="42"/>
        <v>0</v>
      </c>
      <c r="BF51" s="216">
        <f t="shared" si="43"/>
        <v>0</v>
      </c>
      <c r="BG51" s="216">
        <f t="shared" si="44"/>
        <v>0</v>
      </c>
      <c r="BH51" s="216" t="str">
        <f t="shared" si="45"/>
        <v>M</v>
      </c>
      <c r="BI51" s="216">
        <f t="shared" si="46"/>
        <v>0</v>
      </c>
      <c r="BJ51" s="216"/>
      <c r="BK51" s="216"/>
      <c r="BL51" s="216" t="e">
        <f t="shared" si="47"/>
        <v>#VALUE!</v>
      </c>
      <c r="BM51" s="216">
        <f t="shared" si="48"/>
        <v>0</v>
      </c>
      <c r="BN51" s="216"/>
      <c r="BO51" s="257"/>
      <c r="BQ51" s="200"/>
      <c r="BR51" s="225"/>
      <c r="BS51" s="283">
        <f>AE42</f>
        <v>0</v>
      </c>
      <c r="BT51" s="283">
        <f>CC47</f>
        <v>0</v>
      </c>
      <c r="BU51" s="283">
        <f>CB47</f>
        <v>0</v>
      </c>
      <c r="BV51" s="283">
        <f>CC48</f>
        <v>0</v>
      </c>
      <c r="BW51" s="283">
        <f>CB48</f>
        <v>0</v>
      </c>
      <c r="BX51" s="283">
        <f>CC49</f>
        <v>0</v>
      </c>
      <c r="BY51" s="283">
        <f>CB49</f>
        <v>0</v>
      </c>
      <c r="BZ51" s="283">
        <f>CC50</f>
        <v>0</v>
      </c>
      <c r="CA51" s="295">
        <f>CB50</f>
        <v>0</v>
      </c>
      <c r="CB51" s="246"/>
      <c r="CC51" s="246"/>
      <c r="CD51" s="246"/>
      <c r="CE51" s="246"/>
      <c r="CF51" s="226">
        <f t="shared" si="27"/>
        <v>0</v>
      </c>
      <c r="CG51" s="219">
        <f t="shared" si="28"/>
        <v>0</v>
      </c>
      <c r="CH51" s="246"/>
      <c r="CI51" s="246"/>
      <c r="CJ51" s="246"/>
      <c r="CK51" s="246"/>
      <c r="CL51" s="246"/>
      <c r="CM51" s="246"/>
      <c r="CN51" s="246"/>
      <c r="CO51" s="246"/>
      <c r="CP51" s="246"/>
      <c r="CQ51" s="246"/>
      <c r="CR51" s="246"/>
      <c r="CS51" s="229"/>
      <c r="CT51" s="229"/>
      <c r="CU51" s="229"/>
      <c r="CV51" s="229"/>
      <c r="CW51" s="229"/>
      <c r="CX51" s="229"/>
      <c r="CY51" s="246"/>
      <c r="CZ51" s="229"/>
      <c r="DA51" s="229"/>
      <c r="DB51" s="229"/>
      <c r="DC51" s="229"/>
      <c r="DD51" s="229"/>
      <c r="DE51" s="229"/>
      <c r="DF51" s="246"/>
      <c r="DG51" s="229"/>
      <c r="DH51" s="229"/>
      <c r="DI51" s="229"/>
      <c r="DJ51" s="229"/>
      <c r="DK51" s="229"/>
      <c r="DL51" s="229"/>
      <c r="DM51" s="246"/>
      <c r="DN51" s="229"/>
      <c r="DO51" s="229"/>
      <c r="DP51" s="229"/>
      <c r="DQ51" s="229"/>
      <c r="DR51" s="229"/>
      <c r="DS51" s="229"/>
      <c r="DT51" s="246"/>
      <c r="DU51" s="229"/>
      <c r="DV51" s="229"/>
      <c r="DW51" s="229"/>
      <c r="DX51" s="229"/>
      <c r="DY51" s="229"/>
      <c r="DZ51" s="229"/>
      <c r="EA51" s="246"/>
      <c r="EB51" s="229"/>
      <c r="EC51" s="229"/>
      <c r="ED51" s="229"/>
      <c r="EE51" s="229"/>
      <c r="EF51" s="229"/>
      <c r="EG51" s="229"/>
      <c r="EH51" s="246"/>
      <c r="EI51" s="229"/>
      <c r="EJ51" s="229"/>
      <c r="EK51" s="229"/>
      <c r="EL51" s="229"/>
      <c r="EM51" s="229"/>
      <c r="EN51" s="229"/>
      <c r="EO51" s="246"/>
      <c r="EP51" s="229"/>
      <c r="EQ51" s="229"/>
      <c r="ER51" s="229"/>
      <c r="ES51" s="229"/>
      <c r="ET51" s="229"/>
      <c r="EU51" s="229"/>
      <c r="EV51" s="246"/>
      <c r="EW51" s="229"/>
      <c r="EX51" s="229"/>
      <c r="EY51" s="229"/>
      <c r="EZ51" s="229"/>
      <c r="FA51" s="229"/>
      <c r="FB51" s="229"/>
      <c r="FC51" s="246"/>
      <c r="FD51" s="229"/>
      <c r="FE51" s="229"/>
      <c r="FF51" s="229"/>
      <c r="FG51" s="229"/>
      <c r="FH51" s="229"/>
      <c r="FI51" s="229"/>
      <c r="FJ51" s="213"/>
      <c r="FK51" s="213"/>
      <c r="FL51" s="213"/>
      <c r="FM51" s="213"/>
    </row>
    <row r="52" spans="1:169" ht="21.95" customHeight="1" thickBot="1" x14ac:dyDescent="0.25">
      <c r="A52" s="394"/>
      <c r="B52" s="429" t="s">
        <v>4</v>
      </c>
      <c r="C52" s="388"/>
      <c r="D52" s="388"/>
      <c r="E52" s="388"/>
      <c r="F52" s="388"/>
      <c r="G52" s="388"/>
      <c r="H52" s="390"/>
      <c r="I52" s="390"/>
      <c r="J52" s="390"/>
      <c r="K52" s="296" t="s">
        <v>3</v>
      </c>
      <c r="L52" s="297"/>
      <c r="M52" s="298" t="str">
        <f>IF(AB52=AB51,K52,IF(AB52&gt;AB51,""))</f>
        <v/>
      </c>
      <c r="N52" s="390"/>
      <c r="O52" s="699" t="s">
        <v>18</v>
      </c>
      <c r="P52" s="700"/>
      <c r="Q52" s="700"/>
      <c r="R52" s="700"/>
      <c r="S52" s="700"/>
      <c r="T52" s="700"/>
      <c r="U52" s="700"/>
      <c r="V52" s="701"/>
      <c r="W52" s="517"/>
      <c r="X52" s="533" t="str">
        <f>IF(M52="OK",BK38,"")</f>
        <v/>
      </c>
      <c r="Y52" s="534" t="str">
        <f>IF(M52="OK",BK39,"")</f>
        <v/>
      </c>
      <c r="Z52" s="534" t="str">
        <f>IF(M52="OK",BK40,"")</f>
        <v/>
      </c>
      <c r="AA52" s="535" t="str">
        <f>IF(M52="OK",BK41,"")</f>
        <v/>
      </c>
      <c r="AB52" s="398">
        <v>6</v>
      </c>
      <c r="AC52" s="258">
        <f>IF(AF39&lt;&gt;" ",AF39," ")</f>
        <v>2</v>
      </c>
      <c r="AD52" s="259">
        <f>IF(AF41&lt;&gt;" ",AF41," ")</f>
        <v>4</v>
      </c>
      <c r="AE52" s="275" t="str">
        <f t="shared" si="29"/>
        <v xml:space="preserve"> </v>
      </c>
      <c r="AF52" s="261">
        <f t="shared" si="30"/>
        <v>0</v>
      </c>
      <c r="AG52" s="262">
        <f t="shared" si="31"/>
        <v>0</v>
      </c>
      <c r="AH52" s="259">
        <f t="shared" si="32"/>
        <v>0</v>
      </c>
      <c r="AI52" s="262">
        <f t="shared" si="33"/>
        <v>0</v>
      </c>
      <c r="AJ52" s="263">
        <f t="shared" si="34"/>
        <v>0</v>
      </c>
      <c r="AK52" s="262">
        <f t="shared" si="35"/>
        <v>0</v>
      </c>
      <c r="AL52" s="263">
        <f t="shared" si="36"/>
        <v>0</v>
      </c>
      <c r="AM52" s="262">
        <f t="shared" si="37"/>
        <v>0</v>
      </c>
      <c r="AN52" s="263">
        <f t="shared" si="38"/>
        <v>0</v>
      </c>
      <c r="AO52" s="264">
        <f t="shared" si="39"/>
        <v>0</v>
      </c>
      <c r="AP52" s="276"/>
      <c r="AQ52" s="277">
        <f>IF(BI52&gt;0,1,0)</f>
        <v>0</v>
      </c>
      <c r="AR52" s="281"/>
      <c r="AS52" s="299">
        <f>IF(BI52&lt;0,1,0)</f>
        <v>0</v>
      </c>
      <c r="AT52" s="278"/>
      <c r="AU52" s="229"/>
      <c r="AV52" s="213"/>
      <c r="AW52" s="213"/>
      <c r="AX52" s="213"/>
      <c r="AY52" s="279"/>
      <c r="AZ52" s="280">
        <f>IF(BI52&gt;0,1,0)</f>
        <v>0</v>
      </c>
      <c r="BB52" s="300">
        <f>IF(BI52&lt;0,1,0)</f>
        <v>0</v>
      </c>
      <c r="BC52" s="216">
        <f t="shared" si="40"/>
        <v>0</v>
      </c>
      <c r="BD52" s="216">
        <f t="shared" si="41"/>
        <v>0</v>
      </c>
      <c r="BE52" s="216">
        <f t="shared" si="42"/>
        <v>0</v>
      </c>
      <c r="BF52" s="216">
        <f t="shared" si="43"/>
        <v>0</v>
      </c>
      <c r="BG52" s="216">
        <f t="shared" si="44"/>
        <v>0</v>
      </c>
      <c r="BH52" s="216" t="str">
        <f t="shared" si="45"/>
        <v>M</v>
      </c>
      <c r="BI52" s="216">
        <f t="shared" si="46"/>
        <v>0</v>
      </c>
      <c r="BJ52" s="216"/>
      <c r="BK52" s="216"/>
      <c r="BL52" s="216" t="e">
        <f t="shared" si="47"/>
        <v>#VALUE!</v>
      </c>
      <c r="BM52" s="216">
        <f t="shared" si="48"/>
        <v>0</v>
      </c>
      <c r="BN52" s="216"/>
      <c r="BO52" s="257"/>
      <c r="BQ52" s="200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46"/>
      <c r="CE52" s="246"/>
      <c r="CF52" s="226">
        <f t="shared" si="27"/>
        <v>0</v>
      </c>
      <c r="CG52" s="219">
        <f t="shared" si="28"/>
        <v>0</v>
      </c>
      <c r="CH52" s="246"/>
      <c r="CI52" s="246"/>
      <c r="CJ52" s="246"/>
      <c r="CK52" s="246"/>
      <c r="CL52" s="246"/>
      <c r="CM52" s="246"/>
      <c r="CN52" s="246"/>
      <c r="CO52" s="246"/>
      <c r="CP52" s="246"/>
      <c r="CQ52" s="246"/>
      <c r="CR52" s="246"/>
      <c r="CS52" s="229"/>
      <c r="CT52" s="229"/>
      <c r="CU52" s="229"/>
      <c r="CV52" s="229"/>
      <c r="CW52" s="229"/>
      <c r="CX52" s="229"/>
      <c r="CY52" s="226"/>
      <c r="CZ52" s="246"/>
      <c r="DA52" s="229"/>
      <c r="DB52" s="229"/>
      <c r="DC52" s="229"/>
      <c r="DD52" s="229"/>
      <c r="DE52" s="229"/>
      <c r="DF52" s="246"/>
      <c r="DG52" s="229"/>
      <c r="DH52" s="229"/>
      <c r="DI52" s="229"/>
      <c r="DJ52" s="229"/>
      <c r="DK52" s="229"/>
      <c r="DL52" s="229"/>
      <c r="DM52" s="246"/>
      <c r="DN52" s="229"/>
      <c r="DO52" s="229"/>
      <c r="DP52" s="229"/>
      <c r="DQ52" s="229"/>
      <c r="DR52" s="229"/>
      <c r="DS52" s="229"/>
      <c r="DT52" s="225"/>
      <c r="DU52" s="226"/>
      <c r="DV52" s="213"/>
      <c r="DW52" s="225"/>
      <c r="DX52" s="226"/>
      <c r="DY52" s="226"/>
      <c r="DZ52" s="225"/>
      <c r="EA52" s="225"/>
      <c r="EB52" s="226" t="e">
        <f>IF(EG47&gt;0,DZ47/EG47,"???")</f>
        <v>#VALUE!</v>
      </c>
      <c r="EC52" s="226" t="e">
        <f>IF(EG48&gt;0,DZ48/EG48,"???")</f>
        <v>#VALUE!</v>
      </c>
      <c r="ED52" s="226" t="e">
        <f>IF(EG49&gt;0,DZ49/EG49,"???")</f>
        <v>#VALUE!</v>
      </c>
      <c r="EE52" s="226" t="e">
        <f>IF(EG50&gt;0,DZ50/EG50,"???")</f>
        <v>#VALUE!</v>
      </c>
      <c r="EF52" s="226" t="str">
        <f>IF(EG51&gt;0,DZ51/EG51,"???")</f>
        <v>???</v>
      </c>
      <c r="EG52" s="226"/>
      <c r="EH52" s="246"/>
      <c r="EI52" s="229"/>
      <c r="EJ52" s="229"/>
      <c r="EK52" s="229"/>
      <c r="EL52" s="229"/>
      <c r="EM52" s="229"/>
      <c r="EN52" s="226">
        <f>SUM(EI52:EM52)</f>
        <v>0</v>
      </c>
      <c r="EO52" s="246"/>
      <c r="EP52" s="225" t="e">
        <f>IF(EU47&gt;0,EN47/EU47,"???")</f>
        <v>#VALUE!</v>
      </c>
      <c r="EQ52" s="225" t="e">
        <f>IF(EU48&gt;0,EN48/EU48,"???")</f>
        <v>#VALUE!</v>
      </c>
      <c r="ER52" s="225" t="e">
        <f>IF(EU49&gt;0,EN49/EU49,"???")</f>
        <v>#VALUE!</v>
      </c>
      <c r="ES52" s="225" t="e">
        <f>IF(EU50&gt;0,EN50/EU50,"???")</f>
        <v>#VALUE!</v>
      </c>
      <c r="ET52" s="225" t="str">
        <f>IF(EU51&gt;0,EN51/EU51,"???")</f>
        <v>???</v>
      </c>
      <c r="EU52" s="226"/>
      <c r="EV52" s="246"/>
      <c r="EW52" s="229"/>
      <c r="EX52" s="229"/>
      <c r="EY52" s="229"/>
      <c r="EZ52" s="229"/>
      <c r="FA52" s="229"/>
      <c r="FB52" s="301" t="e">
        <f>SUM(FB47:FB51)</f>
        <v>#VALUE!</v>
      </c>
      <c r="FC52" s="246"/>
      <c r="FD52" s="229"/>
      <c r="FF52" s="229"/>
      <c r="FG52" s="229"/>
      <c r="FH52" s="229"/>
      <c r="FI52" s="301" t="e">
        <f>SUM(FI47:FI51)</f>
        <v>#VALUE!</v>
      </c>
      <c r="FJ52" s="213"/>
      <c r="FK52" s="213"/>
      <c r="FL52" s="213"/>
      <c r="FM52" s="213"/>
    </row>
    <row r="53" spans="1:169" ht="27.95" customHeight="1" thickBot="1" x14ac:dyDescent="0.25">
      <c r="W53" s="390"/>
      <c r="AA53" s="390"/>
      <c r="AC53" s="273">
        <f>IF(AF38&lt;&gt;" ",AF38," ")</f>
        <v>1</v>
      </c>
      <c r="AD53" s="274">
        <f>IF(AF39&lt;&gt;" ",AF39," ")</f>
        <v>2</v>
      </c>
      <c r="AE53" s="275" t="str">
        <f t="shared" si="29"/>
        <v xml:space="preserve"> </v>
      </c>
      <c r="AF53" s="261">
        <f t="shared" si="30"/>
        <v>0</v>
      </c>
      <c r="AG53" s="262">
        <f t="shared" si="31"/>
        <v>0</v>
      </c>
      <c r="AH53" s="259">
        <f t="shared" si="32"/>
        <v>0</v>
      </c>
      <c r="AI53" s="262">
        <f t="shared" si="33"/>
        <v>0</v>
      </c>
      <c r="AJ53" s="263">
        <f t="shared" si="34"/>
        <v>0</v>
      </c>
      <c r="AK53" s="262">
        <f t="shared" si="35"/>
        <v>0</v>
      </c>
      <c r="AL53" s="263">
        <f t="shared" si="36"/>
        <v>0</v>
      </c>
      <c r="AM53" s="262">
        <f t="shared" si="37"/>
        <v>0</v>
      </c>
      <c r="AN53" s="263">
        <f t="shared" si="38"/>
        <v>0</v>
      </c>
      <c r="AO53" s="264">
        <f t="shared" si="39"/>
        <v>0</v>
      </c>
      <c r="AP53" s="288">
        <f>IF(BI53&gt;0,1,0)</f>
        <v>0</v>
      </c>
      <c r="AQ53" s="277">
        <f>IF(BI53&lt;0,1,0)</f>
        <v>0</v>
      </c>
      <c r="AR53" s="302"/>
      <c r="AT53" s="278"/>
      <c r="AU53" s="229"/>
      <c r="AV53" s="213"/>
      <c r="AW53" s="213"/>
      <c r="AX53" s="213"/>
      <c r="AY53" s="292">
        <f>IF(BI53&gt;0,1,0)</f>
        <v>0</v>
      </c>
      <c r="AZ53" s="280">
        <f>IF(BI53&lt;0,1,0)</f>
        <v>0</v>
      </c>
      <c r="BA53" s="293"/>
      <c r="BB53" s="303"/>
      <c r="BC53" s="216">
        <f t="shared" si="40"/>
        <v>0</v>
      </c>
      <c r="BD53" s="216">
        <f t="shared" si="41"/>
        <v>0</v>
      </c>
      <c r="BE53" s="216">
        <f t="shared" si="42"/>
        <v>0</v>
      </c>
      <c r="BF53" s="216">
        <f t="shared" si="43"/>
        <v>0</v>
      </c>
      <c r="BG53" s="216">
        <f t="shared" si="44"/>
        <v>0</v>
      </c>
      <c r="BH53" s="216" t="str">
        <f t="shared" si="45"/>
        <v>M</v>
      </c>
      <c r="BI53" s="216">
        <f t="shared" si="46"/>
        <v>0</v>
      </c>
      <c r="BJ53" s="216"/>
      <c r="BK53" s="216"/>
      <c r="BL53" s="216" t="e">
        <f t="shared" si="47"/>
        <v>#VALUE!</v>
      </c>
      <c r="BM53" s="216">
        <f t="shared" si="48"/>
        <v>0</v>
      </c>
      <c r="BN53" s="216"/>
      <c r="BO53" s="257"/>
      <c r="BQ53" s="200"/>
      <c r="BR53" s="225"/>
      <c r="BS53" s="225"/>
      <c r="BT53" s="225"/>
      <c r="BU53" s="225"/>
      <c r="BV53" s="225"/>
      <c r="BW53" s="225"/>
      <c r="BX53" s="225"/>
      <c r="BY53" s="225"/>
      <c r="BZ53" s="225"/>
      <c r="CA53" s="225"/>
      <c r="CB53" s="225"/>
      <c r="CC53" s="225"/>
      <c r="CD53" s="225"/>
      <c r="CE53" s="225"/>
      <c r="CF53" s="226">
        <f t="shared" si="27"/>
        <v>0</v>
      </c>
      <c r="CG53" s="219">
        <f t="shared" si="28"/>
        <v>0</v>
      </c>
      <c r="CH53" s="246"/>
      <c r="CI53" s="246"/>
      <c r="CJ53" s="246"/>
      <c r="CK53" s="246"/>
      <c r="CL53" s="246"/>
      <c r="CM53" s="246"/>
      <c r="CN53" s="246"/>
      <c r="CO53" s="246"/>
      <c r="CP53" s="246"/>
      <c r="CQ53" s="246"/>
      <c r="CR53" s="246"/>
      <c r="CS53" s="246"/>
      <c r="CT53" s="246"/>
      <c r="CU53" s="246"/>
      <c r="CV53" s="246"/>
      <c r="CW53" s="246"/>
      <c r="CX53" s="246"/>
      <c r="CY53" s="226"/>
      <c r="CZ53" s="246"/>
      <c r="DA53" s="229"/>
      <c r="DB53" s="229"/>
      <c r="DC53" s="229"/>
      <c r="DD53" s="229"/>
      <c r="DE53" s="229"/>
      <c r="DF53" s="229"/>
      <c r="DG53" s="229"/>
      <c r="DH53" s="246"/>
      <c r="DI53" s="229"/>
      <c r="DJ53" s="229"/>
      <c r="DK53" s="229"/>
      <c r="DL53" s="229"/>
      <c r="DM53" s="246"/>
      <c r="DN53" s="229"/>
      <c r="DO53" s="229"/>
      <c r="DP53" s="229"/>
      <c r="DQ53" s="229"/>
      <c r="DR53" s="229"/>
      <c r="DS53" s="229"/>
      <c r="DT53" s="225"/>
      <c r="DU53" s="226"/>
      <c r="DV53" s="226"/>
      <c r="DW53" s="226"/>
      <c r="DX53" s="226"/>
      <c r="DY53" s="226"/>
      <c r="DZ53" s="229"/>
      <c r="EA53" s="225"/>
      <c r="EH53" s="246"/>
      <c r="EI53" s="246"/>
      <c r="EJ53" s="246"/>
      <c r="EK53" s="246"/>
      <c r="EL53" s="246"/>
      <c r="EM53" s="246"/>
      <c r="EN53" s="226">
        <f>SUM(EI53:EM53)</f>
        <v>0</v>
      </c>
      <c r="EO53" s="213"/>
      <c r="EP53" s="213"/>
      <c r="EQ53" s="213"/>
      <c r="ER53" s="213"/>
      <c r="ES53" s="213"/>
      <c r="ET53" s="213"/>
      <c r="EU53" s="213"/>
      <c r="EV53" s="246"/>
      <c r="EW53" s="229"/>
      <c r="EX53" s="229"/>
      <c r="EY53" s="226"/>
      <c r="EZ53" s="229"/>
      <c r="FA53" s="229"/>
      <c r="FB53" s="229"/>
      <c r="FC53" s="246"/>
      <c r="FD53" s="229"/>
      <c r="FE53" s="225"/>
      <c r="FF53" s="229"/>
      <c r="FG53" s="229"/>
      <c r="FH53" s="229"/>
      <c r="FI53" s="229"/>
      <c r="FJ53" s="213"/>
      <c r="FK53" s="213"/>
      <c r="FL53" s="213"/>
      <c r="FM53" s="213"/>
    </row>
    <row r="54" spans="1:169" ht="27.95" customHeight="1" thickBot="1" x14ac:dyDescent="0.25">
      <c r="A54" s="706" t="s">
        <v>230</v>
      </c>
      <c r="B54" s="707"/>
      <c r="C54" s="726" t="str">
        <f>IF($AB51&lt;6,"",IF($X52=1,C38,IF($Y52=1,C39,IF($Z52=1,C40,IF($AA52=1,C41)))))</f>
        <v/>
      </c>
      <c r="D54" s="727"/>
      <c r="E54" s="661" t="str">
        <f>IF(C54="","",VLOOKUP(C54,liste!$A$9:$G$145,2,FALSE))</f>
        <v/>
      </c>
      <c r="F54" s="662"/>
      <c r="G54" s="662"/>
      <c r="H54" s="662"/>
      <c r="I54" s="663"/>
      <c r="J54" s="546" t="str">
        <f>IF(C54="","",VLOOKUP(C54,liste!$A$9:$G$145,4,FALSE))</f>
        <v/>
      </c>
      <c r="K54" s="661" t="str">
        <f>IF(C54="","",VLOOKUP(C54,liste!$A$9:$G$145,3,FALSE))</f>
        <v/>
      </c>
      <c r="L54" s="662" t="e">
        <v>#REF!</v>
      </c>
      <c r="M54" s="662" t="e">
        <v>#N/A</v>
      </c>
      <c r="N54" s="663" t="e">
        <v>#REF!</v>
      </c>
      <c r="O54" s="397"/>
      <c r="P54" s="702" t="s">
        <v>231</v>
      </c>
      <c r="Q54" s="702"/>
      <c r="R54" s="702"/>
      <c r="AA54" s="390"/>
      <c r="AC54" s="273">
        <f>IF(AF40&lt;&gt;" ",AF40," ")</f>
        <v>3</v>
      </c>
      <c r="AD54" s="274">
        <f>IF(AF41&lt;&gt;" ",AF41," ")</f>
        <v>4</v>
      </c>
      <c r="AE54" s="275" t="str">
        <f t="shared" si="29"/>
        <v xml:space="preserve"> </v>
      </c>
      <c r="AF54" s="261">
        <f t="shared" si="30"/>
        <v>0</v>
      </c>
      <c r="AG54" s="262">
        <f t="shared" si="31"/>
        <v>0</v>
      </c>
      <c r="AH54" s="259">
        <f t="shared" si="32"/>
        <v>0</v>
      </c>
      <c r="AI54" s="262">
        <f t="shared" si="33"/>
        <v>0</v>
      </c>
      <c r="AJ54" s="263">
        <f t="shared" si="34"/>
        <v>0</v>
      </c>
      <c r="AK54" s="262">
        <f t="shared" si="35"/>
        <v>0</v>
      </c>
      <c r="AL54" s="263">
        <f t="shared" si="36"/>
        <v>0</v>
      </c>
      <c r="AM54" s="262">
        <f t="shared" si="37"/>
        <v>0</v>
      </c>
      <c r="AN54" s="263">
        <f t="shared" si="38"/>
        <v>0</v>
      </c>
      <c r="AO54" s="264">
        <f t="shared" si="39"/>
        <v>0</v>
      </c>
      <c r="AP54" s="276"/>
      <c r="AR54" s="277">
        <f>IF(BI54&gt;0,1,0)</f>
        <v>0</v>
      </c>
      <c r="AS54" s="290">
        <f>IF(BI54&lt;0,1,0)</f>
        <v>0</v>
      </c>
      <c r="AT54" s="267"/>
      <c r="AU54" s="229"/>
      <c r="AV54" s="213"/>
      <c r="AW54" s="213"/>
      <c r="AX54" s="213"/>
      <c r="AY54" s="304"/>
      <c r="AZ54" s="305"/>
      <c r="BA54" s="306">
        <f>IF(BI54&gt;0,1,0)</f>
        <v>0</v>
      </c>
      <c r="BB54" s="306">
        <f>IF(BI54&lt;0,1,0)</f>
        <v>0</v>
      </c>
      <c r="BC54" s="307">
        <f t="shared" si="40"/>
        <v>0</v>
      </c>
      <c r="BD54" s="307">
        <f t="shared" si="41"/>
        <v>0</v>
      </c>
      <c r="BE54" s="307">
        <f t="shared" si="42"/>
        <v>0</v>
      </c>
      <c r="BF54" s="307">
        <f t="shared" si="43"/>
        <v>0</v>
      </c>
      <c r="BG54" s="307">
        <f t="shared" si="44"/>
        <v>0</v>
      </c>
      <c r="BH54" s="307" t="str">
        <f t="shared" si="45"/>
        <v>M</v>
      </c>
      <c r="BI54" s="307">
        <f t="shared" si="46"/>
        <v>0</v>
      </c>
      <c r="BJ54" s="307"/>
      <c r="BK54" s="307"/>
      <c r="BL54" s="307" t="e">
        <f t="shared" si="47"/>
        <v>#VALUE!</v>
      </c>
      <c r="BM54" s="307">
        <f t="shared" si="48"/>
        <v>0</v>
      </c>
      <c r="BN54" s="307"/>
      <c r="BO54" s="308"/>
      <c r="BQ54" s="200"/>
      <c r="BR54" s="225"/>
      <c r="BS54" s="225">
        <f>AE45</f>
        <v>0</v>
      </c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225"/>
      <c r="CW54" s="225"/>
      <c r="CX54" s="225"/>
      <c r="CY54" s="225"/>
      <c r="CZ54" s="225"/>
      <c r="DA54" s="226"/>
      <c r="DB54" s="226"/>
      <c r="DC54" s="226"/>
      <c r="DD54" s="226"/>
      <c r="DE54" s="226"/>
      <c r="DF54" s="226"/>
      <c r="DG54" s="225"/>
      <c r="DH54" s="225"/>
      <c r="DI54" s="226"/>
      <c r="DJ54" s="226"/>
      <c r="DK54" s="226"/>
      <c r="DL54" s="226"/>
      <c r="DM54" s="226"/>
      <c r="DN54" s="226"/>
      <c r="DO54" s="225"/>
      <c r="DP54" s="225"/>
      <c r="DQ54" s="226"/>
      <c r="DR54" s="226"/>
      <c r="DS54" s="226"/>
      <c r="DT54" s="213"/>
      <c r="DU54" s="213"/>
      <c r="DV54" s="213"/>
      <c r="DW54" s="213"/>
      <c r="DX54" s="213"/>
      <c r="DY54" s="213"/>
      <c r="DZ54" s="213"/>
      <c r="EA54" s="225"/>
      <c r="EB54" s="213"/>
      <c r="EC54" s="213"/>
      <c r="ED54" s="213"/>
      <c r="EE54" s="213"/>
      <c r="EF54" s="213"/>
      <c r="EG54" s="229"/>
      <c r="EH54" s="225"/>
      <c r="EI54" s="225"/>
      <c r="EJ54" s="225"/>
      <c r="EK54" s="225"/>
      <c r="EL54" s="225"/>
      <c r="EM54" s="225"/>
      <c r="EN54" s="225"/>
      <c r="EO54" s="213"/>
      <c r="EP54" s="213"/>
      <c r="EQ54" s="213"/>
      <c r="ER54" s="213"/>
      <c r="ES54" s="213"/>
      <c r="ET54" s="213"/>
      <c r="EU54" s="225"/>
      <c r="EV54" s="225"/>
      <c r="EW54" s="225"/>
      <c r="EX54" s="225"/>
      <c r="EY54" s="225"/>
      <c r="EZ54" s="225"/>
      <c r="FA54" s="225"/>
      <c r="FB54" s="225"/>
      <c r="FC54" s="225"/>
      <c r="FD54" s="225"/>
      <c r="FF54" s="225"/>
      <c r="FG54" s="225"/>
      <c r="FH54" s="225"/>
      <c r="FI54" s="225"/>
      <c r="FJ54" s="213"/>
      <c r="FK54" s="213"/>
      <c r="FL54" s="213"/>
      <c r="FM54" s="213"/>
    </row>
    <row r="55" spans="1:169" ht="27.95" customHeight="1" thickTop="1" thickBot="1" x14ac:dyDescent="0.25">
      <c r="A55" s="732" t="s">
        <v>232</v>
      </c>
      <c r="B55" s="733"/>
      <c r="C55" s="734" t="str">
        <f>IF($AB51&lt;6,"",IF($X52=2,C38,IF($Y52=2,C39,IF($Z52=2,C40,IF($AA52=2,C41)))))</f>
        <v/>
      </c>
      <c r="D55" s="735"/>
      <c r="E55" s="664" t="str">
        <f>IF(C55="","",VLOOKUP(C55,liste!$A$9:$G$145,2,FALSE))</f>
        <v/>
      </c>
      <c r="F55" s="665"/>
      <c r="G55" s="665"/>
      <c r="H55" s="665"/>
      <c r="I55" s="666"/>
      <c r="J55" s="547" t="str">
        <f>IF(C55="","",VLOOKUP(C55,liste!$A$9:$G$145,4,FALSE))</f>
        <v/>
      </c>
      <c r="K55" s="664" t="str">
        <f>IF(C55="","",VLOOKUP(C55,liste!$A$9:$G$145,3,FALSE))</f>
        <v/>
      </c>
      <c r="L55" s="665" t="e">
        <v>#REF!</v>
      </c>
      <c r="M55" s="665" t="e">
        <v>#N/A</v>
      </c>
      <c r="N55" s="666" t="e">
        <v>#REF!</v>
      </c>
      <c r="P55" s="731">
        <f>$P$26</f>
        <v>0</v>
      </c>
      <c r="Q55" s="731"/>
      <c r="R55" s="731"/>
      <c r="S55" s="731"/>
      <c r="T55" s="731"/>
      <c r="U55" s="731"/>
      <c r="AA55" s="390"/>
      <c r="AC55" s="309"/>
      <c r="AD55" s="310"/>
      <c r="AE55" s="310"/>
      <c r="AF55" s="311"/>
      <c r="AG55" s="311"/>
      <c r="AH55" s="311"/>
      <c r="AI55" s="311"/>
      <c r="AJ55" s="312"/>
      <c r="AK55" s="312"/>
      <c r="AL55" s="313"/>
      <c r="AM55" s="312" t="s">
        <v>71</v>
      </c>
      <c r="AN55" s="311"/>
      <c r="AO55" s="314"/>
      <c r="AP55" s="315">
        <f>SUM(AP49:AP54)</f>
        <v>0</v>
      </c>
      <c r="AQ55" s="316">
        <f>SUM(AQ49:AQ54)</f>
        <v>0</v>
      </c>
      <c r="AR55" s="316">
        <f>SUM(AR49:AR54)</f>
        <v>0</v>
      </c>
      <c r="AS55" s="317">
        <f>SUM(AS49:AS54)</f>
        <v>0</v>
      </c>
      <c r="AT55" s="318">
        <f>SUM(AT49:AT54)</f>
        <v>0</v>
      </c>
      <c r="AU55" s="229"/>
      <c r="AV55" s="213"/>
      <c r="AW55" s="213"/>
      <c r="AX55" s="213"/>
      <c r="AY55" s="301"/>
      <c r="AZ55" s="301"/>
      <c r="BA55" s="301"/>
      <c r="BB55" s="301"/>
      <c r="BC55" s="301"/>
      <c r="BD55" s="229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5"/>
      <c r="BS55" s="225">
        <f>AE46</f>
        <v>0</v>
      </c>
      <c r="BT55" s="225"/>
      <c r="BU55" s="225"/>
      <c r="BV55" s="225"/>
      <c r="BW55" s="225"/>
      <c r="BX55" s="225"/>
      <c r="BY55" s="225"/>
      <c r="BZ55" s="225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5"/>
      <c r="CL55" s="225"/>
      <c r="CM55" s="225"/>
      <c r="CN55" s="225"/>
      <c r="CO55" s="225"/>
      <c r="CP55" s="225"/>
      <c r="CQ55" s="225"/>
      <c r="CR55" s="225"/>
      <c r="CS55" s="225"/>
      <c r="CT55" s="225"/>
      <c r="CU55" s="225"/>
      <c r="CV55" s="225"/>
      <c r="CW55" s="225"/>
      <c r="CX55" s="225"/>
      <c r="CY55" s="225"/>
      <c r="CZ55" s="225"/>
      <c r="DA55" s="226"/>
      <c r="DB55" s="226"/>
      <c r="DC55" s="226"/>
      <c r="DD55" s="226"/>
      <c r="DE55" s="226"/>
      <c r="DF55" s="226"/>
      <c r="DG55" s="225"/>
      <c r="DH55" s="225"/>
      <c r="DI55" s="226"/>
      <c r="DJ55" s="226"/>
      <c r="DK55" s="226"/>
      <c r="DL55" s="226"/>
      <c r="DM55" s="226"/>
      <c r="DN55" s="226"/>
      <c r="DO55" s="225"/>
      <c r="DP55" s="225"/>
      <c r="DQ55" s="226"/>
      <c r="DR55" s="226"/>
      <c r="DS55" s="226"/>
      <c r="DT55" s="226"/>
      <c r="DU55" s="226"/>
      <c r="DV55" s="226"/>
      <c r="DW55" s="225"/>
      <c r="DX55" s="225"/>
      <c r="DY55" s="226"/>
      <c r="DZ55" s="226"/>
      <c r="EA55" s="213"/>
      <c r="EB55" s="226"/>
      <c r="EC55" s="226"/>
      <c r="ED55" s="226"/>
      <c r="EE55" s="225">
        <f>SUM(DY55:ED55)</f>
        <v>0</v>
      </c>
      <c r="EF55" s="225"/>
      <c r="EG55" s="213"/>
      <c r="EH55" s="225"/>
      <c r="EI55" s="225"/>
      <c r="EJ55" s="225"/>
      <c r="EK55" s="225"/>
      <c r="EL55" s="225"/>
      <c r="EM55" s="225"/>
      <c r="EN55" s="225"/>
      <c r="EO55" s="213"/>
      <c r="EP55" s="213"/>
      <c r="EQ55" s="213"/>
      <c r="ER55" s="213"/>
      <c r="ES55" s="213"/>
      <c r="ET55" s="213"/>
      <c r="EU55" s="225"/>
      <c r="EV55" s="225"/>
      <c r="EW55" s="213"/>
      <c r="EX55" s="213"/>
      <c r="EY55" s="213"/>
      <c r="EZ55" s="213"/>
      <c r="FA55" s="213"/>
      <c r="FB55" s="213"/>
      <c r="FC55" s="225"/>
      <c r="FD55" s="225"/>
      <c r="FE55" s="225"/>
      <c r="FF55" s="225"/>
      <c r="FG55" s="225"/>
      <c r="FH55" s="225"/>
      <c r="FI55" s="225"/>
      <c r="FJ55" s="213"/>
      <c r="FK55" s="213"/>
      <c r="FL55" s="213"/>
      <c r="FM55" s="213"/>
    </row>
    <row r="56" spans="1:169" ht="27.95" customHeight="1" thickTop="1" x14ac:dyDescent="0.2">
      <c r="A56" s="732" t="s">
        <v>233</v>
      </c>
      <c r="B56" s="733"/>
      <c r="C56" s="734" t="str">
        <f>IF($AB51&lt;6,"",IF($X52=3,C38,IF($Y52=3,C39,IF($Z52=3,C40,IF($AA52=3,C41)))))</f>
        <v/>
      </c>
      <c r="D56" s="735"/>
      <c r="E56" s="664" t="str">
        <f>IF(C56="","",VLOOKUP(C56,liste!$A$9:$G$145,2,FALSE))</f>
        <v/>
      </c>
      <c r="F56" s="665"/>
      <c r="G56" s="665"/>
      <c r="H56" s="665"/>
      <c r="I56" s="666"/>
      <c r="J56" s="547" t="str">
        <f>IF(C56="","",VLOOKUP(C56,liste!$A$9:$G$145,4,FALSE))</f>
        <v/>
      </c>
      <c r="K56" s="664" t="str">
        <f>IF(C56="","",VLOOKUP(C56,liste!$A$9:$G$145,3,FALSE))</f>
        <v/>
      </c>
      <c r="L56" s="665" t="e">
        <v>#REF!</v>
      </c>
      <c r="M56" s="665" t="e">
        <v>#N/A</v>
      </c>
      <c r="N56" s="666" t="e">
        <v>#REF!</v>
      </c>
      <c r="AA56" s="390"/>
      <c r="AU56" s="229"/>
      <c r="AV56" s="213"/>
      <c r="AW56" s="213"/>
      <c r="AX56" s="213"/>
      <c r="AY56" s="301"/>
      <c r="AZ56" s="301"/>
      <c r="BA56" s="301"/>
      <c r="BB56" s="301"/>
      <c r="BC56" s="301"/>
      <c r="BD56" s="229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6"/>
      <c r="BR56" s="225"/>
      <c r="BS56" s="225"/>
      <c r="BT56" s="225"/>
      <c r="BU56" s="225"/>
      <c r="BV56" s="225"/>
      <c r="BW56" s="225"/>
      <c r="BX56" s="225"/>
      <c r="BY56" s="225"/>
      <c r="BZ56" s="225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5"/>
      <c r="CL56" s="225"/>
      <c r="CM56" s="225"/>
      <c r="CN56" s="225"/>
      <c r="CO56" s="225"/>
      <c r="CP56" s="225"/>
      <c r="CQ56" s="225"/>
      <c r="CR56" s="225"/>
      <c r="CS56" s="225"/>
      <c r="CT56" s="225"/>
      <c r="CU56" s="225"/>
      <c r="CV56" s="225"/>
      <c r="CW56" s="225"/>
      <c r="CX56" s="225"/>
      <c r="CY56" s="225"/>
      <c r="CZ56" s="225"/>
      <c r="DA56" s="226"/>
      <c r="DB56" s="226"/>
      <c r="DC56" s="226"/>
      <c r="DD56" s="226"/>
      <c r="DE56" s="226"/>
      <c r="DF56" s="226"/>
      <c r="DG56" s="225"/>
      <c r="DH56" s="225"/>
      <c r="DI56" s="226"/>
      <c r="DJ56" s="226"/>
      <c r="DK56" s="226"/>
      <c r="DL56" s="226"/>
      <c r="DM56" s="226"/>
      <c r="DN56" s="226"/>
      <c r="DO56" s="225"/>
      <c r="DP56" s="225"/>
      <c r="DQ56" s="226"/>
      <c r="DR56" s="226"/>
      <c r="DS56" s="226"/>
      <c r="DT56" s="226"/>
      <c r="DU56" s="226"/>
      <c r="DV56" s="226"/>
      <c r="DW56" s="225"/>
      <c r="DX56" s="225"/>
      <c r="DY56" s="226"/>
      <c r="DZ56" s="226"/>
      <c r="EA56" s="226"/>
      <c r="EB56" s="226"/>
      <c r="EC56" s="226"/>
      <c r="ED56" s="226"/>
      <c r="EE56" s="225">
        <f>SUM(DY56:ED56)</f>
        <v>0</v>
      </c>
      <c r="EF56" s="225"/>
      <c r="EG56" s="218"/>
      <c r="EH56" s="218"/>
      <c r="EI56" s="218"/>
      <c r="EJ56" s="218"/>
      <c r="EK56" s="218"/>
      <c r="EL56" s="218"/>
      <c r="EM56" s="225"/>
      <c r="EN56" s="225"/>
      <c r="EO56" s="225"/>
      <c r="EP56" s="225"/>
      <c r="EQ56" s="225"/>
      <c r="ER56" s="225"/>
      <c r="ES56" s="225"/>
      <c r="ET56" s="225"/>
      <c r="EU56" s="225"/>
      <c r="EV56" s="225"/>
      <c r="EW56" s="225"/>
      <c r="EX56" s="225"/>
      <c r="EY56" s="225"/>
      <c r="EZ56" s="225"/>
      <c r="FA56" s="225"/>
      <c r="FB56" s="225"/>
      <c r="FC56" s="225"/>
      <c r="FD56" s="225"/>
      <c r="FE56" s="225"/>
      <c r="FF56" s="225"/>
      <c r="FG56" s="225"/>
      <c r="FH56" s="225"/>
      <c r="FI56" s="225"/>
      <c r="FJ56" s="213"/>
      <c r="FK56" s="213"/>
      <c r="FL56" s="213"/>
      <c r="FM56" s="213"/>
    </row>
    <row r="57" spans="1:169" ht="21.95" customHeight="1" thickBot="1" x14ac:dyDescent="0.25">
      <c r="A57" s="716" t="s">
        <v>234</v>
      </c>
      <c r="B57" s="717"/>
      <c r="C57" s="739" t="str">
        <f>IF($AB51&lt;6,"",IF($X52=4,C38,IF($Y52=4,C39,IF($Z52=4,C40,IF(AA52=4,C41)))))</f>
        <v/>
      </c>
      <c r="D57" s="740"/>
      <c r="E57" s="658" t="str">
        <f>IF(C57="","",VLOOKUP(C57,liste!$A$9:$G$145,2,FALSE))</f>
        <v/>
      </c>
      <c r="F57" s="659"/>
      <c r="G57" s="659"/>
      <c r="H57" s="659"/>
      <c r="I57" s="660"/>
      <c r="J57" s="548" t="str">
        <f>IF(C57="","",VLOOKUP(C57,liste!$A$9:$G$145,4,FALSE))</f>
        <v/>
      </c>
      <c r="K57" s="658" t="str">
        <f>IF(C57="","",VLOOKUP(C57,liste!$A$9:$G$145,3,FALSE))</f>
        <v/>
      </c>
      <c r="L57" s="659" t="e">
        <v>#REF!</v>
      </c>
      <c r="M57" s="659" t="e">
        <v>#N/A</v>
      </c>
      <c r="N57" s="660" t="e">
        <v>#REF!</v>
      </c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U57" s="229"/>
      <c r="AV57" s="213"/>
      <c r="AW57" s="213"/>
      <c r="AX57" s="213"/>
      <c r="AY57" s="301"/>
      <c r="AZ57" s="301"/>
      <c r="BA57" s="301"/>
      <c r="BB57" s="301"/>
      <c r="BC57" s="301"/>
      <c r="BD57" s="229"/>
      <c r="BE57" s="226"/>
      <c r="BF57" s="226"/>
      <c r="BG57" s="226"/>
      <c r="BH57" s="226"/>
      <c r="BI57" s="226"/>
      <c r="BJ57" s="226"/>
      <c r="BK57" s="226"/>
      <c r="BL57" s="226"/>
      <c r="BM57" s="226"/>
      <c r="BN57" s="226"/>
      <c r="BO57" s="226"/>
      <c r="BP57" s="226"/>
      <c r="BQ57" s="226"/>
      <c r="BR57" s="225"/>
      <c r="BS57" s="225"/>
      <c r="BT57" s="225"/>
      <c r="BU57" s="225"/>
      <c r="BV57" s="225"/>
      <c r="BW57" s="225"/>
      <c r="BX57" s="225"/>
      <c r="BY57" s="225"/>
      <c r="BZ57" s="225"/>
      <c r="CA57" s="225"/>
      <c r="CB57" s="225"/>
      <c r="CC57" s="225"/>
      <c r="CD57" s="225"/>
      <c r="CE57" s="225"/>
      <c r="CF57" s="218"/>
      <c r="CG57" s="218"/>
      <c r="CH57" s="225"/>
      <c r="CI57" s="225"/>
      <c r="CJ57" s="225"/>
      <c r="CK57" s="225"/>
      <c r="CL57" s="225"/>
      <c r="CM57" s="225"/>
      <c r="CN57" s="225"/>
      <c r="CO57" s="225"/>
      <c r="CP57" s="225"/>
      <c r="CQ57" s="225"/>
      <c r="CR57" s="225"/>
      <c r="CS57" s="225" t="s">
        <v>5</v>
      </c>
      <c r="CT57" s="225" t="s">
        <v>5</v>
      </c>
      <c r="CU57" s="225"/>
      <c r="CV57" s="225"/>
      <c r="CW57" s="225" t="s">
        <v>5</v>
      </c>
      <c r="CX57" s="225" t="s">
        <v>5</v>
      </c>
      <c r="CY57" s="225"/>
      <c r="CZ57" s="225"/>
      <c r="DA57" s="226" t="s">
        <v>5</v>
      </c>
      <c r="DB57" s="226" t="s">
        <v>5</v>
      </c>
      <c r="DC57" s="226"/>
      <c r="DD57" s="226"/>
      <c r="DE57" s="226" t="s">
        <v>5</v>
      </c>
      <c r="DF57" s="226" t="s">
        <v>5</v>
      </c>
      <c r="DG57" s="225"/>
      <c r="DH57" s="225"/>
      <c r="DI57" s="226" t="s">
        <v>5</v>
      </c>
      <c r="DJ57" s="226" t="s">
        <v>5</v>
      </c>
      <c r="DK57" s="226"/>
      <c r="DL57" s="226"/>
      <c r="DM57" s="226" t="s">
        <v>5</v>
      </c>
      <c r="DN57" s="226" t="s">
        <v>5</v>
      </c>
      <c r="DO57" s="225"/>
      <c r="DP57" s="225"/>
      <c r="DQ57" s="226" t="s">
        <v>5</v>
      </c>
      <c r="DR57" s="226" t="s">
        <v>5</v>
      </c>
      <c r="DS57" s="226"/>
      <c r="DT57" s="226"/>
      <c r="DU57" s="226" t="s">
        <v>5</v>
      </c>
      <c r="DV57" s="226" t="s">
        <v>5</v>
      </c>
      <c r="DW57" s="225"/>
      <c r="DX57" s="225"/>
      <c r="DY57" s="226" t="s">
        <v>5</v>
      </c>
      <c r="DZ57" s="226" t="s">
        <v>70</v>
      </c>
      <c r="EA57" s="226" t="s">
        <v>5</v>
      </c>
      <c r="EB57" s="226"/>
      <c r="EC57" s="226"/>
      <c r="ED57" s="226" t="s">
        <v>5</v>
      </c>
      <c r="EE57" s="225">
        <f>SUM(DY57:ED57)</f>
        <v>0</v>
      </c>
      <c r="EF57" s="225"/>
      <c r="EG57" s="225"/>
      <c r="EH57" s="225"/>
      <c r="EI57" s="225"/>
      <c r="EJ57" s="225"/>
      <c r="EK57" s="225"/>
      <c r="EL57" s="225"/>
      <c r="EM57" s="225"/>
      <c r="EN57" s="225"/>
      <c r="EO57" s="225" t="s">
        <v>5</v>
      </c>
      <c r="EP57" s="225" t="s">
        <v>70</v>
      </c>
      <c r="EQ57" s="225" t="s">
        <v>5</v>
      </c>
      <c r="ER57" s="225"/>
      <c r="ES57" s="225"/>
      <c r="ET57" s="225" t="s">
        <v>5</v>
      </c>
      <c r="EU57" s="225"/>
      <c r="EV57" s="225"/>
      <c r="EW57" s="225" t="s">
        <v>5</v>
      </c>
      <c r="EX57" s="225" t="s">
        <v>5</v>
      </c>
      <c r="EY57" s="225"/>
      <c r="EZ57" s="225"/>
      <c r="FA57" s="225" t="s">
        <v>5</v>
      </c>
      <c r="FB57" s="225" t="s">
        <v>5</v>
      </c>
      <c r="FC57" s="225"/>
      <c r="FD57" s="225"/>
      <c r="FE57" s="225"/>
      <c r="FF57" s="225"/>
      <c r="FG57" s="225"/>
      <c r="FH57" s="225"/>
      <c r="FI57" s="225"/>
      <c r="FJ57" s="213"/>
      <c r="FK57" s="213"/>
      <c r="FL57" s="213"/>
      <c r="FM57" s="213"/>
    </row>
    <row r="58" spans="1:169" x14ac:dyDescent="0.2">
      <c r="A58" s="390"/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</row>
  </sheetData>
  <sheetProtection sheet="1" objects="1" scenarios="1" selectLockedCells="1"/>
  <mergeCells count="148">
    <mergeCell ref="AC48:AD48"/>
    <mergeCell ref="O51:V51"/>
    <mergeCell ref="Z38:AA38"/>
    <mergeCell ref="Z39:AA39"/>
    <mergeCell ref="Q38:Y38"/>
    <mergeCell ref="O39:P39"/>
    <mergeCell ref="X43:AA43"/>
    <mergeCell ref="R43:V43"/>
    <mergeCell ref="Q41:Y41"/>
    <mergeCell ref="M47:Q47"/>
    <mergeCell ref="Q39:Y39"/>
    <mergeCell ref="O38:P38"/>
    <mergeCell ref="Z40:AA40"/>
    <mergeCell ref="O40:P40"/>
    <mergeCell ref="Z41:AA41"/>
    <mergeCell ref="Z12:AA12"/>
    <mergeCell ref="C8:E8"/>
    <mergeCell ref="C9:E9"/>
    <mergeCell ref="C10:E10"/>
    <mergeCell ref="F9:H9"/>
    <mergeCell ref="AC19:AD19"/>
    <mergeCell ref="C37:E37"/>
    <mergeCell ref="F37:H37"/>
    <mergeCell ref="I37:N37"/>
    <mergeCell ref="O37:P37"/>
    <mergeCell ref="Q37:Y37"/>
    <mergeCell ref="T33:Y33"/>
    <mergeCell ref="Z37:AA37"/>
    <mergeCell ref="K27:N27"/>
    <mergeCell ref="K28:N28"/>
    <mergeCell ref="O23:V23"/>
    <mergeCell ref="Z11:AA11"/>
    <mergeCell ref="O11:P11"/>
    <mergeCell ref="P26:U26"/>
    <mergeCell ref="X14:AA14"/>
    <mergeCell ref="R14:V14"/>
    <mergeCell ref="O12:P12"/>
    <mergeCell ref="Q10:Y10"/>
    <mergeCell ref="C25:D25"/>
    <mergeCell ref="A41:B41"/>
    <mergeCell ref="A54:B54"/>
    <mergeCell ref="C38:E38"/>
    <mergeCell ref="C27:D27"/>
    <mergeCell ref="C28:D28"/>
    <mergeCell ref="C40:E40"/>
    <mergeCell ref="A27:B27"/>
    <mergeCell ref="A28:B28"/>
    <mergeCell ref="A39:B39"/>
    <mergeCell ref="A40:B40"/>
    <mergeCell ref="A30:AA31"/>
    <mergeCell ref="Y35:Z35"/>
    <mergeCell ref="K54:N54"/>
    <mergeCell ref="A57:B57"/>
    <mergeCell ref="A38:B38"/>
    <mergeCell ref="C11:E11"/>
    <mergeCell ref="A11:B11"/>
    <mergeCell ref="A12:B12"/>
    <mergeCell ref="G21:K21"/>
    <mergeCell ref="C54:D54"/>
    <mergeCell ref="C39:E39"/>
    <mergeCell ref="Z10:AA10"/>
    <mergeCell ref="O22:V22"/>
    <mergeCell ref="P55:U55"/>
    <mergeCell ref="A26:B26"/>
    <mergeCell ref="C26:D26"/>
    <mergeCell ref="F12:H12"/>
    <mergeCell ref="C12:E12"/>
    <mergeCell ref="A10:B10"/>
    <mergeCell ref="A55:B55"/>
    <mergeCell ref="A56:B56"/>
    <mergeCell ref="I41:N41"/>
    <mergeCell ref="F41:H41"/>
    <mergeCell ref="C41:E41"/>
    <mergeCell ref="C57:D57"/>
    <mergeCell ref="C55:D55"/>
    <mergeCell ref="C56:D56"/>
    <mergeCell ref="F10:H10"/>
    <mergeCell ref="I38:N38"/>
    <mergeCell ref="K25:N25"/>
    <mergeCell ref="I11:N11"/>
    <mergeCell ref="K26:N26"/>
    <mergeCell ref="I12:N12"/>
    <mergeCell ref="A25:B25"/>
    <mergeCell ref="Q40:Y40"/>
    <mergeCell ref="O10:P10"/>
    <mergeCell ref="I10:N10"/>
    <mergeCell ref="Q11:Y11"/>
    <mergeCell ref="Q12:Y12"/>
    <mergeCell ref="P25:R25"/>
    <mergeCell ref="I40:N40"/>
    <mergeCell ref="G16:K16"/>
    <mergeCell ref="G17:K17"/>
    <mergeCell ref="F11:H11"/>
    <mergeCell ref="M16:Q16"/>
    <mergeCell ref="M17:Q17"/>
    <mergeCell ref="K56:N56"/>
    <mergeCell ref="F39:H39"/>
    <mergeCell ref="F38:H38"/>
    <mergeCell ref="M20:Q20"/>
    <mergeCell ref="G18:K18"/>
    <mergeCell ref="G19:K19"/>
    <mergeCell ref="M21:Q21"/>
    <mergeCell ref="G20:K20"/>
    <mergeCell ref="O41:P41"/>
    <mergeCell ref="O52:V52"/>
    <mergeCell ref="P54:R54"/>
    <mergeCell ref="M18:Q18"/>
    <mergeCell ref="M19:Q19"/>
    <mergeCell ref="E56:I56"/>
    <mergeCell ref="F6:K6"/>
    <mergeCell ref="I8:N8"/>
    <mergeCell ref="I9:N9"/>
    <mergeCell ref="Z8:AA8"/>
    <mergeCell ref="A9:B9"/>
    <mergeCell ref="Z9:AA9"/>
    <mergeCell ref="T4:Y4"/>
    <mergeCell ref="A1:AA2"/>
    <mergeCell ref="F4:J4"/>
    <mergeCell ref="Y6:Z6"/>
    <mergeCell ref="F8:H8"/>
    <mergeCell ref="O8:P8"/>
    <mergeCell ref="O9:P9"/>
    <mergeCell ref="Q8:Y8"/>
    <mergeCell ref="Q9:Y9"/>
    <mergeCell ref="E57:I57"/>
    <mergeCell ref="E25:I25"/>
    <mergeCell ref="E26:I26"/>
    <mergeCell ref="E27:I27"/>
    <mergeCell ref="E28:I28"/>
    <mergeCell ref="E54:I54"/>
    <mergeCell ref="E55:I55"/>
    <mergeCell ref="M49:Q49"/>
    <mergeCell ref="M50:Q50"/>
    <mergeCell ref="G45:K45"/>
    <mergeCell ref="G46:K46"/>
    <mergeCell ref="G47:K47"/>
    <mergeCell ref="G48:K48"/>
    <mergeCell ref="G49:K49"/>
    <mergeCell ref="G50:K50"/>
    <mergeCell ref="M45:Q45"/>
    <mergeCell ref="M46:Q46"/>
    <mergeCell ref="M48:Q48"/>
    <mergeCell ref="F35:K35"/>
    <mergeCell ref="I39:N39"/>
    <mergeCell ref="F40:H40"/>
    <mergeCell ref="F33:J33"/>
    <mergeCell ref="K57:N57"/>
    <mergeCell ref="K55:N55"/>
  </mergeCells>
  <phoneticPr fontId="0" type="noConversion"/>
  <conditionalFormatting sqref="A16:Q21 W16:AA21 A45:Q50 W45:AA50 S25 V25:AA26 U27:AA27 S54:AA54 O57:AA57 U56:AA56 P55:AA55 A3:AA3 A1 A32:AA32 A29:AA29 A30 A36:AA44 A33:C35 A5:AA5 A4:F4 K4:AA4 A7:AA15 AA6 A6:Y6 A51:AA52 O53:AA53 O54:O55 A54:N57 A22:AA23 O24:AA24 O25:P25 O26:U26 A25:N28 O28:AA28 AA33:AA35">
    <cfRule type="cellIs" dxfId="11" priority="5" stopIfTrue="1" operator="equal">
      <formula>0</formula>
    </cfRule>
  </conditionalFormatting>
  <conditionalFormatting sqref="P54">
    <cfRule type="cellIs" dxfId="10" priority="4" stopIfTrue="1" operator="equal">
      <formula>0</formula>
    </cfRule>
  </conditionalFormatting>
  <conditionalFormatting sqref="E17:E21">
    <cfRule type="expression" dxfId="9" priority="3">
      <formula>$E$16=0</formula>
    </cfRule>
  </conditionalFormatting>
  <conditionalFormatting sqref="E46:E50">
    <cfRule type="expression" dxfId="8" priority="2">
      <formula>$E$45=0</formula>
    </cfRule>
  </conditionalFormatting>
  <conditionalFormatting sqref="D34:Z34 D33:F33 K33:Z33 D35:Y35">
    <cfRule type="cellIs" dxfId="7" priority="1" stopIfTrue="1" operator="equal">
      <formula>0</formula>
    </cfRule>
  </conditionalFormatting>
  <printOptions horizontalCentered="1" verticalCentered="1"/>
  <pageMargins left="0.15748031496062992" right="0.15748031496062992" top="0.39370078740157483" bottom="0.59055118110236227" header="0.51181102362204722" footer="0.47244094488188981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92D050"/>
    <pageSetUpPr fitToPage="1"/>
  </sheetPr>
  <dimension ref="A1:FM57"/>
  <sheetViews>
    <sheetView showGridLines="0" view="pageBreakPreview" zoomScale="60" zoomScaleNormal="60" workbookViewId="0">
      <selection activeCell="C9" sqref="C9:E9"/>
    </sheetView>
  </sheetViews>
  <sheetFormatPr baseColWidth="10" defaultColWidth="11.42578125" defaultRowHeight="18.75" x14ac:dyDescent="0.2"/>
  <cols>
    <col min="1" max="3" width="2.7109375" style="387" customWidth="1"/>
    <col min="4" max="4" width="4.7109375" style="387" customWidth="1"/>
    <col min="5" max="5" width="9.85546875" style="387" customWidth="1"/>
    <col min="6" max="6" width="6.7109375" style="387" customWidth="1"/>
    <col min="7" max="7" width="3.7109375" style="387" customWidth="1"/>
    <col min="8" max="11" width="7.7109375" style="387" customWidth="1"/>
    <col min="12" max="12" width="11.42578125" style="387"/>
    <col min="13" max="16" width="7.7109375" style="387" customWidth="1"/>
    <col min="17" max="17" width="3.7109375" style="387" customWidth="1"/>
    <col min="18" max="22" width="7.7109375" style="387" customWidth="1"/>
    <col min="23" max="23" width="1.7109375" style="387" customWidth="1"/>
    <col min="24" max="27" width="6.7109375" style="387" customWidth="1"/>
    <col min="28" max="28" width="11.42578125" style="387"/>
    <col min="29" max="31" width="11.42578125" style="212"/>
    <col min="32" max="47" width="5.7109375" style="212" customWidth="1"/>
    <col min="48" max="48" width="7.42578125" style="212" customWidth="1"/>
    <col min="49" max="59" width="5.7109375" style="212" customWidth="1"/>
    <col min="60" max="60" width="20.42578125" style="212" customWidth="1"/>
    <col min="61" max="61" width="5.7109375" style="212" customWidth="1"/>
    <col min="62" max="62" width="7.28515625" style="212" customWidth="1"/>
    <col min="63" max="65" width="5.7109375" style="212" customWidth="1"/>
    <col min="66" max="66" width="12.140625" style="212" customWidth="1"/>
    <col min="67" max="67" width="7.28515625" style="212" customWidth="1"/>
    <col min="68" max="165" width="5.7109375" style="212" customWidth="1"/>
    <col min="166" max="169" width="11.42578125" style="212"/>
    <col min="170" max="16384" width="11.42578125" style="387"/>
  </cols>
  <sheetData>
    <row r="1" spans="1:169" ht="21.95" customHeight="1" x14ac:dyDescent="0.2">
      <c r="A1" s="692" t="str">
        <f>liste!$A$4</f>
        <v>Circuit Décathlon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</row>
    <row r="2" spans="1:169" ht="21.95" customHeight="1" x14ac:dyDescent="0.2">
      <c r="A2" s="692"/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</row>
    <row r="3" spans="1:169" ht="21.95" customHeight="1" x14ac:dyDescent="0.2">
      <c r="A3" s="427"/>
      <c r="B3" s="394"/>
      <c r="G3" s="394"/>
      <c r="H3" s="389"/>
      <c r="I3" s="390"/>
      <c r="J3" s="390"/>
      <c r="K3" s="390"/>
      <c r="L3" s="391"/>
      <c r="M3" s="390"/>
      <c r="N3" s="390"/>
      <c r="O3" s="392"/>
      <c r="P3" s="392"/>
      <c r="Q3" s="392"/>
      <c r="R3" s="392"/>
      <c r="S3" s="392"/>
      <c r="U3" s="389"/>
      <c r="V3" s="389"/>
      <c r="AA3" s="427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</row>
    <row r="4" spans="1:169" ht="21.95" customHeight="1" x14ac:dyDescent="0.2">
      <c r="A4" s="394"/>
      <c r="B4" s="394"/>
      <c r="D4" s="394"/>
      <c r="E4" s="393" t="s">
        <v>6</v>
      </c>
      <c r="F4" s="680" t="str">
        <f>liste!$A$5</f>
        <v>Parigné l'évêque</v>
      </c>
      <c r="G4" s="680"/>
      <c r="H4" s="680"/>
      <c r="I4" s="680"/>
      <c r="J4" s="680"/>
      <c r="K4" s="390"/>
      <c r="L4" s="390"/>
      <c r="M4" s="390"/>
      <c r="N4" s="392"/>
      <c r="O4" s="392"/>
      <c r="P4" s="392"/>
      <c r="Q4" s="392"/>
      <c r="R4" s="392"/>
      <c r="S4" s="393" t="s">
        <v>7</v>
      </c>
      <c r="T4" s="691">
        <f>liste!$A$7</f>
        <v>43421</v>
      </c>
      <c r="U4" s="691"/>
      <c r="V4" s="691"/>
      <c r="W4" s="691"/>
      <c r="X4" s="691"/>
      <c r="Y4" s="691"/>
      <c r="Z4" s="395"/>
      <c r="AA4" s="390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</row>
    <row r="5" spans="1:169" ht="21.95" customHeight="1" x14ac:dyDescent="0.2">
      <c r="A5" s="394"/>
      <c r="B5" s="394"/>
      <c r="C5" s="394"/>
      <c r="D5" s="394"/>
      <c r="E5" s="394"/>
      <c r="F5" s="394"/>
      <c r="G5" s="390"/>
      <c r="H5" s="390"/>
      <c r="I5" s="390"/>
      <c r="J5" s="390"/>
      <c r="K5" s="390"/>
      <c r="L5" s="390"/>
      <c r="M5" s="390"/>
      <c r="N5" s="392"/>
      <c r="O5" s="392"/>
      <c r="P5" s="392"/>
      <c r="Q5" s="392"/>
      <c r="R5" s="392"/>
      <c r="S5" s="392"/>
      <c r="T5" s="392"/>
      <c r="U5" s="392"/>
      <c r="V5" s="390"/>
      <c r="Z5" s="390"/>
      <c r="AA5" s="390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</row>
    <row r="6" spans="1:169" ht="21.95" customHeight="1" x14ac:dyDescent="0.2">
      <c r="A6" s="427"/>
      <c r="B6" s="394"/>
      <c r="C6" s="394"/>
      <c r="D6" s="394"/>
      <c r="E6" s="393" t="s">
        <v>11</v>
      </c>
      <c r="F6" s="676" t="str">
        <f>liste!$A$6</f>
        <v>FEM</v>
      </c>
      <c r="G6" s="676"/>
      <c r="H6" s="676"/>
      <c r="I6" s="676"/>
      <c r="J6" s="676"/>
      <c r="K6" s="676"/>
      <c r="L6" s="430" t="s">
        <v>2</v>
      </c>
      <c r="M6" s="558" t="s">
        <v>36</v>
      </c>
      <c r="O6" s="397" t="s">
        <v>188</v>
      </c>
      <c r="P6" s="394"/>
      <c r="Q6" s="558">
        <f>Rens!C9</f>
        <v>0</v>
      </c>
      <c r="R6" s="394"/>
      <c r="S6" s="394"/>
      <c r="T6" s="392"/>
      <c r="U6" s="397"/>
      <c r="V6" s="431" t="s">
        <v>140</v>
      </c>
      <c r="X6" s="559"/>
      <c r="Y6" s="693" t="str">
        <f>liste!$G$1</f>
        <v>2018-2019</v>
      </c>
      <c r="Z6" s="693"/>
      <c r="AA6" s="430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</row>
    <row r="7" spans="1:169" ht="21.95" customHeight="1" thickBot="1" x14ac:dyDescent="0.25">
      <c r="A7" s="394"/>
      <c r="B7" s="394"/>
      <c r="C7" s="394"/>
      <c r="D7" s="394"/>
      <c r="E7" s="394"/>
      <c r="F7" s="394"/>
      <c r="G7" s="394"/>
      <c r="H7" s="390"/>
      <c r="I7" s="390"/>
      <c r="J7" s="390"/>
      <c r="K7" s="390"/>
      <c r="L7" s="390"/>
      <c r="M7" s="390"/>
      <c r="N7" s="390"/>
      <c r="O7" s="392"/>
      <c r="P7" s="392"/>
      <c r="Q7" s="392"/>
      <c r="R7" s="392"/>
      <c r="S7" s="392"/>
      <c r="T7" s="392"/>
      <c r="U7" s="392"/>
      <c r="V7" s="392"/>
      <c r="W7" s="392"/>
      <c r="X7" s="390"/>
      <c r="Y7" s="390"/>
      <c r="Z7" s="390"/>
      <c r="AA7" s="390"/>
      <c r="AC7" s="213"/>
      <c r="AD7" s="213"/>
      <c r="AE7" s="214" t="s">
        <v>58</v>
      </c>
      <c r="AF7" s="215"/>
      <c r="AG7" s="215"/>
      <c r="AH7" s="215"/>
      <c r="AI7" s="216" t="s">
        <v>22</v>
      </c>
      <c r="AJ7" s="214" t="s">
        <v>5</v>
      </c>
      <c r="AK7" s="215"/>
      <c r="AL7" s="214" t="s">
        <v>23</v>
      </c>
      <c r="AM7" s="215"/>
      <c r="AN7" s="215"/>
      <c r="AO7" s="215"/>
      <c r="AP7" s="215"/>
      <c r="AQ7" s="215" t="str">
        <f>IF(AI7&lt;&gt;" ",AI7," ")</f>
        <v>IG1</v>
      </c>
      <c r="AR7" s="215"/>
      <c r="AS7" s="217"/>
      <c r="AT7" s="218"/>
      <c r="AU7" s="218"/>
      <c r="AV7" s="218"/>
      <c r="AW7" s="218"/>
      <c r="AX7" s="218"/>
      <c r="AY7" s="218" t="s">
        <v>5</v>
      </c>
      <c r="AZ7" s="218"/>
      <c r="BA7" s="218" t="s">
        <v>24</v>
      </c>
      <c r="BB7" s="218"/>
      <c r="BC7" s="218"/>
      <c r="BD7" s="218"/>
      <c r="BE7" s="218"/>
      <c r="BF7" s="218"/>
      <c r="BG7" s="218"/>
      <c r="BH7" s="219" t="s">
        <v>10</v>
      </c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8"/>
      <c r="BX7" s="218"/>
      <c r="BY7" s="218"/>
      <c r="BZ7" s="218"/>
      <c r="CA7" s="218"/>
      <c r="CB7" s="218"/>
      <c r="CC7" s="218"/>
      <c r="CD7" s="218"/>
      <c r="CE7" s="218"/>
      <c r="CF7" s="218"/>
      <c r="CG7" s="218"/>
      <c r="CH7" s="218"/>
      <c r="CI7" s="218"/>
      <c r="CJ7" s="218"/>
      <c r="CK7" s="218"/>
      <c r="CL7" s="218"/>
      <c r="CM7" s="218"/>
      <c r="CN7" s="218"/>
      <c r="CO7" s="218"/>
      <c r="CP7" s="218"/>
      <c r="CQ7" s="218"/>
      <c r="CR7" s="218"/>
      <c r="CS7" s="218"/>
      <c r="CT7" s="218"/>
      <c r="CU7" s="218"/>
      <c r="CV7" s="218"/>
      <c r="CW7" s="218"/>
      <c r="CX7" s="218"/>
      <c r="CY7" s="218"/>
      <c r="CZ7" s="218"/>
      <c r="DA7" s="218"/>
      <c r="DB7" s="218"/>
      <c r="DC7" s="218"/>
      <c r="DD7" s="218"/>
      <c r="DE7" s="218"/>
      <c r="DF7" s="218"/>
      <c r="DG7" s="218"/>
      <c r="DH7" s="218"/>
      <c r="DI7" s="218"/>
      <c r="DJ7" s="218"/>
      <c r="DK7" s="218"/>
      <c r="DL7" s="218"/>
      <c r="DM7" s="218"/>
      <c r="DN7" s="218"/>
      <c r="DO7" s="218"/>
      <c r="DP7" s="218"/>
      <c r="DQ7" s="218"/>
      <c r="DR7" s="218"/>
      <c r="DS7" s="218"/>
      <c r="DT7" s="218"/>
      <c r="DU7" s="218"/>
      <c r="DV7" s="218"/>
      <c r="DW7" s="218"/>
      <c r="DX7" s="218"/>
      <c r="DY7" s="218"/>
      <c r="DZ7" s="218"/>
      <c r="EA7" s="218"/>
      <c r="EB7" s="218"/>
      <c r="EC7" s="218"/>
      <c r="ED7" s="218"/>
      <c r="EE7" s="218"/>
      <c r="EF7" s="218"/>
      <c r="EG7" s="218"/>
      <c r="EH7" s="218"/>
      <c r="EI7" s="218"/>
      <c r="EJ7" s="218"/>
      <c r="EK7" s="218"/>
      <c r="EL7" s="218"/>
      <c r="EM7" s="218"/>
      <c r="EN7" s="218"/>
      <c r="EO7" s="218"/>
      <c r="EP7" s="218"/>
      <c r="EQ7" s="218"/>
      <c r="ER7" s="218"/>
      <c r="ES7" s="218"/>
      <c r="ET7" s="218"/>
      <c r="EU7" s="218"/>
      <c r="EV7" s="218"/>
      <c r="EW7" s="218"/>
      <c r="EX7" s="218"/>
      <c r="EY7" s="218"/>
      <c r="EZ7" s="218"/>
      <c r="FA7" s="218"/>
      <c r="FB7" s="218"/>
      <c r="FC7" s="218"/>
      <c r="FD7" s="218"/>
      <c r="FE7" s="218"/>
      <c r="FF7" s="218"/>
      <c r="FG7" s="218"/>
      <c r="FH7" s="218"/>
      <c r="FI7" s="218"/>
      <c r="FJ7" s="213"/>
      <c r="FK7" s="213"/>
      <c r="FL7" s="213"/>
      <c r="FM7" s="213"/>
    </row>
    <row r="8" spans="1:169" ht="24.95" customHeight="1" thickBot="1" x14ac:dyDescent="0.25">
      <c r="A8" s="430"/>
      <c r="B8" s="430"/>
      <c r="C8" s="681" t="s">
        <v>8</v>
      </c>
      <c r="D8" s="682"/>
      <c r="E8" s="683"/>
      <c r="F8" s="681" t="s">
        <v>16</v>
      </c>
      <c r="G8" s="682"/>
      <c r="H8" s="683"/>
      <c r="I8" s="681" t="s">
        <v>20</v>
      </c>
      <c r="J8" s="682"/>
      <c r="K8" s="682"/>
      <c r="L8" s="682"/>
      <c r="M8" s="682"/>
      <c r="N8" s="683"/>
      <c r="O8" s="681" t="s">
        <v>4</v>
      </c>
      <c r="P8" s="683"/>
      <c r="Q8" s="681" t="s">
        <v>12</v>
      </c>
      <c r="R8" s="682"/>
      <c r="S8" s="682"/>
      <c r="T8" s="682"/>
      <c r="U8" s="682"/>
      <c r="V8" s="682"/>
      <c r="W8" s="682"/>
      <c r="X8" s="682"/>
      <c r="Y8" s="683"/>
      <c r="Z8" s="681" t="s">
        <v>194</v>
      </c>
      <c r="AA8" s="683"/>
      <c r="AC8" s="213"/>
      <c r="AD8" s="213"/>
      <c r="AE8" s="214" t="s">
        <v>5</v>
      </c>
      <c r="AF8" s="214"/>
      <c r="AG8" s="216" t="s">
        <v>14</v>
      </c>
      <c r="AH8" s="214"/>
      <c r="AI8" s="214"/>
      <c r="AJ8" s="214"/>
      <c r="AK8" s="214"/>
      <c r="AL8" s="214" t="s">
        <v>5</v>
      </c>
      <c r="AM8" s="214"/>
      <c r="AN8" s="215"/>
      <c r="AO8" s="215"/>
      <c r="AP8" s="215"/>
      <c r="AQ8" s="215"/>
      <c r="AR8" s="215"/>
      <c r="AS8" s="217"/>
      <c r="AT8" s="218"/>
      <c r="AU8" s="218"/>
      <c r="AV8" s="218"/>
      <c r="AW8" s="218"/>
      <c r="AX8" s="218"/>
      <c r="AY8" s="218" t="s">
        <v>10</v>
      </c>
      <c r="AZ8" s="218"/>
      <c r="BA8" s="218" t="s">
        <v>25</v>
      </c>
      <c r="BB8" s="219" t="s">
        <v>26</v>
      </c>
      <c r="BC8" s="219" t="s">
        <v>27</v>
      </c>
      <c r="BD8" s="219" t="s">
        <v>28</v>
      </c>
      <c r="BE8" s="219" t="s">
        <v>29</v>
      </c>
      <c r="BF8" s="218" t="s">
        <v>30</v>
      </c>
      <c r="BG8" s="218"/>
      <c r="BH8" s="219" t="s">
        <v>31</v>
      </c>
      <c r="BI8" s="218"/>
      <c r="BJ8" s="218"/>
      <c r="BK8" s="218" t="s">
        <v>32</v>
      </c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  <c r="EB8" s="218"/>
      <c r="EC8" s="218"/>
      <c r="ED8" s="218"/>
      <c r="EE8" s="218"/>
      <c r="EF8" s="218"/>
      <c r="EG8" s="218"/>
      <c r="EH8" s="218"/>
      <c r="EI8" s="218"/>
      <c r="EJ8" s="218"/>
      <c r="EK8" s="218"/>
      <c r="EL8" s="218"/>
      <c r="EM8" s="218"/>
      <c r="EN8" s="218"/>
      <c r="EO8" s="218"/>
      <c r="EP8" s="218"/>
      <c r="EQ8" s="218"/>
      <c r="ER8" s="218"/>
      <c r="ES8" s="218"/>
      <c r="ET8" s="218"/>
      <c r="EU8" s="218"/>
      <c r="EV8" s="218"/>
      <c r="EW8" s="218"/>
      <c r="EX8" s="218"/>
      <c r="EY8" s="218"/>
      <c r="EZ8" s="218"/>
      <c r="FA8" s="218"/>
      <c r="FB8" s="218"/>
      <c r="FC8" s="218"/>
      <c r="FD8" s="218"/>
      <c r="FE8" s="218"/>
      <c r="FF8" s="218"/>
      <c r="FG8" s="218"/>
      <c r="FH8" s="218"/>
      <c r="FI8" s="218"/>
      <c r="FJ8" s="213"/>
      <c r="FK8" s="213"/>
      <c r="FL8" s="213"/>
      <c r="FM8" s="213"/>
    </row>
    <row r="9" spans="1:169" ht="24.95" customHeight="1" x14ac:dyDescent="0.2">
      <c r="A9" s="687">
        <v>1</v>
      </c>
      <c r="B9" s="688"/>
      <c r="C9" s="742">
        <f>liste!A11</f>
        <v>3</v>
      </c>
      <c r="D9" s="743"/>
      <c r="E9" s="744"/>
      <c r="F9" s="661">
        <f>IF(C9="","",VLOOKUP(C9,liste!$A$9:$G$145,7,FALSE))</f>
        <v>7223109</v>
      </c>
      <c r="G9" s="662" t="e">
        <f>IF(F9="","",VLOOKUP(F9,liste!$A$9:$G$145,7,FALSE))</f>
        <v>#N/A</v>
      </c>
      <c r="H9" s="663" t="e">
        <f>IF(G9="","",VLOOKUP(G9,liste!$A$9:$G$145,7,FALSE))</f>
        <v>#N/A</v>
      </c>
      <c r="I9" s="684" t="str">
        <f>IF(C9="","",VLOOKUP(C9,liste!$A$9:$G$145,2,FALSE))</f>
        <v>LEBRETON Marine</v>
      </c>
      <c r="J9" s="685"/>
      <c r="K9" s="685"/>
      <c r="L9" s="685"/>
      <c r="M9" s="685"/>
      <c r="N9" s="686"/>
      <c r="O9" s="694">
        <f>IF(C9="","",VLOOKUP(C9,liste!$A$9:$G$145,4,FALSE))</f>
        <v>5</v>
      </c>
      <c r="P9" s="695" t="str">
        <f>IF(J9="","",VLOOKUP(J9,liste!$A$9:$G$145,4,FALSE))</f>
        <v/>
      </c>
      <c r="Q9" s="689" t="str">
        <f>IF(C9="","",VLOOKUP(C9,liste!$A$9:$G$145,3,FALSE))</f>
        <v>CHAMPAGNE ESP</v>
      </c>
      <c r="R9" s="696"/>
      <c r="S9" s="696"/>
      <c r="T9" s="696"/>
      <c r="U9" s="696"/>
      <c r="V9" s="696"/>
      <c r="W9" s="696"/>
      <c r="X9" s="696"/>
      <c r="Y9" s="690"/>
      <c r="Z9" s="689">
        <f>IF(C9="","",VLOOKUP(C9,liste!$A$9:$G$145,6,FALSE))</f>
        <v>500</v>
      </c>
      <c r="AA9" s="690" t="str">
        <f>IF(U9="","",VLOOKUP(U9,liste!$A$9:$G$145,4,FALSE))</f>
        <v/>
      </c>
      <c r="AB9" s="400" t="str">
        <f>"C"&amp;X23&amp;C9</f>
        <v>C3</v>
      </c>
      <c r="AC9" s="213"/>
      <c r="AD9" s="213"/>
      <c r="AE9" s="214" t="s">
        <v>33</v>
      </c>
      <c r="AF9" s="216">
        <v>1</v>
      </c>
      <c r="AG9" s="220">
        <f>C9</f>
        <v>3</v>
      </c>
      <c r="AH9" s="214" t="s">
        <v>5</v>
      </c>
      <c r="AI9" s="214" t="s">
        <v>5</v>
      </c>
      <c r="AJ9" s="214"/>
      <c r="AK9" s="214"/>
      <c r="AL9" s="214" t="s">
        <v>34</v>
      </c>
      <c r="AM9" s="214" t="e">
        <f>IF($BK$9=1,$AF$9,IF($BK$10=1,$AF$10,IF($BK$11=1,$AF$11,IF($BK$12=1,$AF$12,""))))</f>
        <v>#VALUE!</v>
      </c>
      <c r="AN9" s="215"/>
      <c r="AO9" s="221" t="e">
        <f>VLOOKUP(AM9,AF9:AG12,2)</f>
        <v>#VALUE!</v>
      </c>
      <c r="AP9" s="215"/>
      <c r="AQ9" s="215"/>
      <c r="AR9" s="215"/>
      <c r="AS9" s="217" t="s">
        <v>5</v>
      </c>
      <c r="AT9" s="218"/>
      <c r="AU9" s="218"/>
      <c r="AV9" s="222" t="e">
        <f>BH9</f>
        <v>#VALUE!</v>
      </c>
      <c r="AW9" s="218"/>
      <c r="AX9" s="218" t="s">
        <v>33</v>
      </c>
      <c r="AY9" s="218" t="e">
        <f>CF18</f>
        <v>#VALUE!</v>
      </c>
      <c r="AZ9" s="218"/>
      <c r="BA9" s="219" t="e">
        <f>IF(DE18&gt;0,CX18/DE18,IF(CX18&gt;0,CX18/1,0))</f>
        <v>#VALUE!</v>
      </c>
      <c r="BB9" s="219" t="e">
        <f>IF(DS18&gt;0,IF(BA9=0,0,DL18/DS18),IF(DL18&gt;0,DL18/1,0))</f>
        <v>#VALUE!</v>
      </c>
      <c r="BC9" s="218" t="e">
        <f>IF(BA9&lt;&gt;0,IF(EG18&gt;0,DZ18/EG18,0),0)</f>
        <v>#VALUE!</v>
      </c>
      <c r="BD9" s="218" t="s">
        <v>5</v>
      </c>
      <c r="BE9" s="219" t="e">
        <f>IF(EU18&gt;0,IF(BC9=0,0,EN18/EU18),IF(EN18&gt;0,EN18/1,0))</f>
        <v>#VALUE!</v>
      </c>
      <c r="BF9" s="219" t="e">
        <f>IF(BE9&lt;&gt;0,IF(FI18&gt;0,FB18/FI18,0),0)</f>
        <v>#VALUE!</v>
      </c>
      <c r="BG9" s="219" t="s">
        <v>33</v>
      </c>
      <c r="BH9" s="223" t="e">
        <f>AY9+BA9*0.01+BB9*0.0001+BC9*0.000001+BE9*0.00000001+BF9*0.0000000001</f>
        <v>#VALUE!</v>
      </c>
      <c r="BI9" s="218"/>
      <c r="BJ9" s="218"/>
      <c r="BK9" s="219" t="e">
        <f>RANK(BH9,BH9:BH15,)</f>
        <v>#VALUE!</v>
      </c>
      <c r="BL9" s="219"/>
      <c r="BM9" s="219"/>
      <c r="BN9" s="219"/>
      <c r="BO9" s="219" t="e">
        <f>IF(BH9=MIN(BH9:BH14),4,IF(BH9=MAX(BH9:BH14),1,0))</f>
        <v>#VALUE!</v>
      </c>
      <c r="BP9" s="219" t="e">
        <f>IF(BO9=0,BH9,0)</f>
        <v>#VALUE!</v>
      </c>
      <c r="BQ9" s="219" t="e">
        <f>IF(BP9&lt;&gt;0,IF(BP9=MAX(BP9:BP14),2,IF(BP9=MIN(BP9:BP14),3,0)),0)</f>
        <v>#VALUE!</v>
      </c>
      <c r="BR9" s="219" t="e">
        <f>IF(AND(BO9=0,BQ9=0),3,0)</f>
        <v>#VALUE!</v>
      </c>
      <c r="BS9" s="218"/>
      <c r="BT9" s="218"/>
      <c r="BU9" s="218"/>
      <c r="BV9" s="218"/>
      <c r="BW9" s="218"/>
      <c r="BX9" s="218"/>
      <c r="BY9" s="218"/>
      <c r="BZ9" s="218"/>
      <c r="CA9" s="218"/>
      <c r="CB9" s="218"/>
      <c r="CC9" s="218"/>
      <c r="CD9" s="218"/>
      <c r="CE9" s="218"/>
      <c r="CF9" s="218"/>
      <c r="CG9" s="218"/>
      <c r="CH9" s="218"/>
      <c r="CI9" s="218"/>
      <c r="CJ9" s="218"/>
      <c r="CK9" s="218"/>
      <c r="CL9" s="218"/>
      <c r="CM9" s="218"/>
      <c r="CN9" s="218"/>
      <c r="CO9" s="218"/>
      <c r="CP9" s="218"/>
      <c r="CQ9" s="218"/>
      <c r="CR9" s="218"/>
      <c r="CS9" s="218"/>
      <c r="CT9" s="218"/>
      <c r="CU9" s="218"/>
      <c r="CV9" s="218"/>
      <c r="CW9" s="218"/>
      <c r="CX9" s="218"/>
      <c r="CY9" s="218"/>
      <c r="CZ9" s="218"/>
      <c r="DA9" s="218"/>
      <c r="DB9" s="218"/>
      <c r="DC9" s="218"/>
      <c r="DD9" s="218"/>
      <c r="DE9" s="218"/>
      <c r="DF9" s="218"/>
      <c r="DG9" s="218"/>
      <c r="DH9" s="218"/>
      <c r="DI9" s="218"/>
      <c r="DJ9" s="218"/>
      <c r="DK9" s="218"/>
      <c r="DL9" s="218"/>
      <c r="DM9" s="218"/>
      <c r="DN9" s="218"/>
      <c r="DO9" s="218"/>
      <c r="DP9" s="218"/>
      <c r="DQ9" s="218"/>
      <c r="DR9" s="218"/>
      <c r="DS9" s="218"/>
      <c r="DT9" s="218"/>
      <c r="DU9" s="218"/>
      <c r="DV9" s="218"/>
      <c r="DW9" s="218"/>
      <c r="DX9" s="218"/>
      <c r="DY9" s="218"/>
      <c r="DZ9" s="218"/>
      <c r="EA9" s="218"/>
      <c r="EB9" s="218"/>
      <c r="EC9" s="218"/>
      <c r="ED9" s="218"/>
      <c r="EE9" s="218"/>
      <c r="EF9" s="218"/>
      <c r="EG9" s="218"/>
      <c r="EH9" s="218"/>
      <c r="EI9" s="218"/>
      <c r="EJ9" s="218"/>
      <c r="EK9" s="218"/>
      <c r="EL9" s="218"/>
      <c r="EM9" s="218"/>
      <c r="EN9" s="218"/>
      <c r="EO9" s="218"/>
      <c r="EP9" s="218"/>
      <c r="EQ9" s="218"/>
      <c r="ER9" s="218"/>
      <c r="ES9" s="218"/>
      <c r="ET9" s="218"/>
      <c r="EU9" s="218"/>
      <c r="EV9" s="218"/>
      <c r="EW9" s="218"/>
      <c r="EX9" s="218"/>
      <c r="EY9" s="218"/>
      <c r="EZ9" s="218"/>
      <c r="FA9" s="218"/>
      <c r="FB9" s="218"/>
      <c r="FC9" s="218"/>
      <c r="FD9" s="218"/>
      <c r="FE9" s="218"/>
      <c r="FF9" s="218"/>
      <c r="FG9" s="218"/>
      <c r="FH9" s="218"/>
      <c r="FI9" s="218"/>
      <c r="FJ9" s="213"/>
      <c r="FK9" s="213"/>
      <c r="FL9" s="213"/>
      <c r="FM9" s="213"/>
    </row>
    <row r="10" spans="1:169" ht="24.95" customHeight="1" x14ac:dyDescent="0.2">
      <c r="A10" s="722">
        <v>2</v>
      </c>
      <c r="B10" s="723"/>
      <c r="C10" s="719">
        <f>liste!A14</f>
        <v>6</v>
      </c>
      <c r="D10" s="720"/>
      <c r="E10" s="721"/>
      <c r="F10" s="664">
        <f>IF(C10="","",VLOOKUP(C10,liste!$A$9:$G$145,7,FALSE))</f>
        <v>7222271</v>
      </c>
      <c r="G10" s="665" t="e">
        <f>IF(F10="","",VLOOKUP(F10,liste!$A$9:$G$145,7,FALSE))</f>
        <v>#N/A</v>
      </c>
      <c r="H10" s="666" t="e">
        <f>IF(G10="","",VLOOKUP(G10,liste!$A$9:$G$145,7,FALSE))</f>
        <v>#N/A</v>
      </c>
      <c r="I10" s="677" t="str">
        <f>IF(C10="","",VLOOKUP(C10,liste!$A$9:$G$145,2,FALSE))</f>
        <v>LE BOEUF Léanne</v>
      </c>
      <c r="J10" s="678"/>
      <c r="K10" s="678"/>
      <c r="L10" s="678"/>
      <c r="M10" s="678"/>
      <c r="N10" s="679"/>
      <c r="O10" s="711">
        <f>IF(C10="","",VLOOKUP(C10,liste!$A$9:$G$145,4,FALSE))</f>
        <v>5</v>
      </c>
      <c r="P10" s="712" t="str">
        <f>IF(J10="","",VLOOKUP(J10,liste!$A$9:$G$145,4,FALSE))</f>
        <v/>
      </c>
      <c r="Q10" s="708" t="str">
        <f>IF(C10="","",VLOOKUP(C10,liste!$A$9:$G$145,3,FALSE))</f>
        <v>SPAY CP</v>
      </c>
      <c r="R10" s="709"/>
      <c r="S10" s="709"/>
      <c r="T10" s="709"/>
      <c r="U10" s="709"/>
      <c r="V10" s="709"/>
      <c r="W10" s="709"/>
      <c r="X10" s="709"/>
      <c r="Y10" s="710"/>
      <c r="Z10" s="708">
        <f>IF(C10="","",VLOOKUP(C10,liste!$A$9:$G$145,6,FALSE))</f>
        <v>500</v>
      </c>
      <c r="AA10" s="710" t="str">
        <f>IF(U10="","",VLOOKUP(U10,liste!$A$9:$G$145,4,FALSE))</f>
        <v/>
      </c>
      <c r="AB10" s="400" t="str">
        <f>"C"&amp;Y23&amp;C10</f>
        <v>C6</v>
      </c>
      <c r="AC10" s="213"/>
      <c r="AD10" s="213"/>
      <c r="AE10" s="214" t="s">
        <v>35</v>
      </c>
      <c r="AF10" s="216">
        <v>2</v>
      </c>
      <c r="AG10" s="220">
        <f>C10</f>
        <v>6</v>
      </c>
      <c r="AH10" s="214" t="s">
        <v>5</v>
      </c>
      <c r="AI10" s="214" t="s">
        <v>5</v>
      </c>
      <c r="AJ10" s="214"/>
      <c r="AK10" s="214"/>
      <c r="AL10" s="214" t="s">
        <v>59</v>
      </c>
      <c r="AM10" s="214" t="e">
        <f>IF($BK$9=2,$AF$9,IF($BK$10=2,$AF$10,IF($BK$11=2,$AF$11,IF($BK$12=2,$AF$12,""))))</f>
        <v>#VALUE!</v>
      </c>
      <c r="AN10" s="215"/>
      <c r="AO10" s="221" t="e">
        <f>VLOOKUP(AM10,AF9:AG12,2)</f>
        <v>#VALUE!</v>
      </c>
      <c r="AP10" s="215"/>
      <c r="AQ10" s="215"/>
      <c r="AR10" s="215"/>
      <c r="AS10" s="217" t="s">
        <v>5</v>
      </c>
      <c r="AT10" s="218"/>
      <c r="AU10" s="218"/>
      <c r="AV10" s="222" t="e">
        <f>BH10</f>
        <v>#VALUE!</v>
      </c>
      <c r="AW10" s="218"/>
      <c r="AX10" s="218" t="s">
        <v>35</v>
      </c>
      <c r="AY10" s="218" t="e">
        <f>CF19</f>
        <v>#VALUE!</v>
      </c>
      <c r="AZ10" s="218"/>
      <c r="BA10" s="219" t="e">
        <f>IF(DE19&gt;0,CX19/DE19,IF(CX19&gt;0,CX19/1,0))</f>
        <v>#VALUE!</v>
      </c>
      <c r="BB10" s="219" t="e">
        <f>IF(DS19&gt;0,IF(BA10=0,0,DL19/DS19),IF(DL19&gt;0,DL19/1,0))</f>
        <v>#VALUE!</v>
      </c>
      <c r="BC10" s="218" t="e">
        <f>IF(BA10&lt;&gt;0,IF(EG19&gt;0,DZ19/EG19,0),0)</f>
        <v>#VALUE!</v>
      </c>
      <c r="BD10" s="218" t="s">
        <v>5</v>
      </c>
      <c r="BE10" s="219" t="e">
        <f>IF(EU19&gt;0,IF(BC10=0,0,EN19/EU19),IF(EN19&gt;0,EN19/1,0))</f>
        <v>#VALUE!</v>
      </c>
      <c r="BF10" s="219" t="e">
        <f>IF(BE10&lt;&gt;0,IF(FI19&gt;0,FB19/FI19,0),0)</f>
        <v>#VALUE!</v>
      </c>
      <c r="BG10" s="219" t="s">
        <v>35</v>
      </c>
      <c r="BH10" s="223" t="e">
        <f>AY10+BA10*0.01+BB10*0.0001+BC10*0.000001+BE10*0.00000001+BF10*0.0000000001</f>
        <v>#VALUE!</v>
      </c>
      <c r="BI10" s="218"/>
      <c r="BJ10" s="218"/>
      <c r="BK10" s="219" t="e">
        <f>RANK(BH10,BH9:BH15,)</f>
        <v>#VALUE!</v>
      </c>
      <c r="BL10" s="219"/>
      <c r="BM10" s="219"/>
      <c r="BN10" s="219"/>
      <c r="BO10" s="219" t="e">
        <f>IF(BH10=MIN(BH9:BH14),4,IF(BH10=MAX(BH9:BH14),1,0))</f>
        <v>#VALUE!</v>
      </c>
      <c r="BP10" s="219" t="e">
        <f>IF(BO10=0,BH10,0)</f>
        <v>#VALUE!</v>
      </c>
      <c r="BQ10" s="219" t="e">
        <f>IF(BP10&lt;&gt;0,IF(BP10=MAX(BP9:BP14),2,IF(BP10=MIN(BP9:BP14),3,0)),0)</f>
        <v>#VALUE!</v>
      </c>
      <c r="BR10" s="219" t="e">
        <f>IF(AND(BO10=0,BQ10=0),3,0)</f>
        <v>#VALUE!</v>
      </c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3"/>
      <c r="FK10" s="213"/>
      <c r="FL10" s="213"/>
      <c r="FM10" s="213"/>
    </row>
    <row r="11" spans="1:169" ht="24.95" customHeight="1" x14ac:dyDescent="0.2">
      <c r="A11" s="722">
        <v>3</v>
      </c>
      <c r="B11" s="723"/>
      <c r="C11" s="719">
        <f>liste!A19</f>
        <v>11</v>
      </c>
      <c r="D11" s="720"/>
      <c r="E11" s="721"/>
      <c r="F11" s="664">
        <f>IF(C11="","",VLOOKUP(C11,liste!$A$9:$G$145,7,FALSE))</f>
        <v>7222495</v>
      </c>
      <c r="G11" s="665" t="e">
        <f>IF(F11="","",VLOOKUP(F11,liste!$A$9:$G$145,7,FALSE))</f>
        <v>#N/A</v>
      </c>
      <c r="H11" s="666" t="e">
        <f>IF(G11="","",VLOOKUP(G11,liste!$A$9:$G$145,7,FALSE))</f>
        <v>#N/A</v>
      </c>
      <c r="I11" s="677" t="str">
        <f>IF(C11="","",VLOOKUP(C11,liste!$A$9:$G$145,2,FALSE))</f>
        <v>MENAGER Chloe</v>
      </c>
      <c r="J11" s="678"/>
      <c r="K11" s="678"/>
      <c r="L11" s="678"/>
      <c r="M11" s="678"/>
      <c r="N11" s="679"/>
      <c r="O11" s="711">
        <f>IF(C11="","",VLOOKUP(C11,liste!$A$9:$G$145,4,FALSE))</f>
        <v>5</v>
      </c>
      <c r="P11" s="712" t="str">
        <f>IF(J11="","",VLOOKUP(J11,liste!$A$9:$G$145,4,FALSE))</f>
        <v/>
      </c>
      <c r="Q11" s="708" t="str">
        <f>IF(C11="","",VLOOKUP(C11,liste!$A$9:$G$145,3,FALSE))</f>
        <v>MAMERS CS</v>
      </c>
      <c r="R11" s="709"/>
      <c r="S11" s="709"/>
      <c r="T11" s="709"/>
      <c r="U11" s="709"/>
      <c r="V11" s="709"/>
      <c r="W11" s="709"/>
      <c r="X11" s="709"/>
      <c r="Y11" s="710"/>
      <c r="Z11" s="708">
        <f>IF(C11="","",VLOOKUP(C11,liste!$A$9:$G$145,6,FALSE))</f>
        <v>500</v>
      </c>
      <c r="AA11" s="710" t="str">
        <f>IF(U11="","",VLOOKUP(U11,liste!$A$9:$G$145,4,FALSE))</f>
        <v/>
      </c>
      <c r="AB11" s="400" t="str">
        <f>"C"&amp;Z23&amp;C11</f>
        <v>C11</v>
      </c>
      <c r="AC11" s="213"/>
      <c r="AD11" s="213"/>
      <c r="AE11" s="214" t="s">
        <v>36</v>
      </c>
      <c r="AF11" s="216">
        <v>3</v>
      </c>
      <c r="AG11" s="220">
        <f>C11</f>
        <v>11</v>
      </c>
      <c r="AH11" s="214" t="s">
        <v>5</v>
      </c>
      <c r="AI11" s="214" t="s">
        <v>5</v>
      </c>
      <c r="AJ11" s="214"/>
      <c r="AK11" s="214"/>
      <c r="AL11" s="214" t="s">
        <v>60</v>
      </c>
      <c r="AM11" s="214" t="e">
        <f>IF($BK$9=3,$AF$9,IF($BK$10=3,$AF$10,IF($BK$11=3,$AF$11,IF($BK$12=3,$AF$12,""))))</f>
        <v>#VALUE!</v>
      </c>
      <c r="AN11" s="215"/>
      <c r="AO11" s="221" t="e">
        <f>VLOOKUP(AM11,AF9:AG12,2)</f>
        <v>#VALUE!</v>
      </c>
      <c r="AP11" s="215"/>
      <c r="AQ11" s="215"/>
      <c r="AR11" s="215"/>
      <c r="AS11" s="217" t="s">
        <v>5</v>
      </c>
      <c r="AT11" s="218"/>
      <c r="AU11" s="218"/>
      <c r="AV11" s="222" t="e">
        <f>BH11</f>
        <v>#VALUE!</v>
      </c>
      <c r="AW11" s="218"/>
      <c r="AX11" s="218" t="s">
        <v>36</v>
      </c>
      <c r="AY11" s="218" t="e">
        <f>CF20</f>
        <v>#VALUE!</v>
      </c>
      <c r="AZ11" s="218"/>
      <c r="BA11" s="219" t="e">
        <f>IF(DE20&gt;0,CX20/DE20,IF(CX20&gt;0,CX20/1,0))</f>
        <v>#VALUE!</v>
      </c>
      <c r="BB11" s="219" t="e">
        <f>IF(DS20&gt;0,IF(BA11=0,0,DL20/DS20),IF(DL20&gt;0,DL20/1,0))</f>
        <v>#VALUE!</v>
      </c>
      <c r="BC11" s="218" t="e">
        <f>IF(BA11&lt;&gt;0,IF(EG20&gt;0,DZ20/EG20,0),0)</f>
        <v>#VALUE!</v>
      </c>
      <c r="BD11" s="218" t="s">
        <v>5</v>
      </c>
      <c r="BE11" s="219" t="e">
        <f>IF(EU20&gt;0,IF(BC11=0,0,EN20/EU20),IF(EN20&gt;0,EN20/1,0))</f>
        <v>#VALUE!</v>
      </c>
      <c r="BF11" s="219" t="e">
        <f>IF(BE11&lt;&gt;0,IF(FI20&gt;0,FB20/FI20,0),0)</f>
        <v>#VALUE!</v>
      </c>
      <c r="BG11" s="219" t="s">
        <v>36</v>
      </c>
      <c r="BH11" s="223" t="e">
        <f>AY11+BA11*0.01+BB11*0.0001+BC11*0.000001+BE11*0.00000001+BF11*0.0000000001</f>
        <v>#VALUE!</v>
      </c>
      <c r="BI11" s="218"/>
      <c r="BJ11" s="218"/>
      <c r="BK11" s="219" t="e">
        <f>RANK(BH11,BH9:BH15,)</f>
        <v>#VALUE!</v>
      </c>
      <c r="BL11" s="219"/>
      <c r="BM11" s="219"/>
      <c r="BN11" s="219"/>
      <c r="BO11" s="219" t="e">
        <f>IF(BH11=MIN(BH9:BH14),4,IF(BH11=MAX(BH9:BH14),1,0))</f>
        <v>#VALUE!</v>
      </c>
      <c r="BP11" s="219" t="e">
        <f>IF(BO11=0,BH11,0)</f>
        <v>#VALUE!</v>
      </c>
      <c r="BQ11" s="219" t="e">
        <f>IF(BP11&lt;&gt;0,IF(BP11=MAX(BP9:BP14),2,IF(BP11=MIN(BP9:BP14),3,0)),0)</f>
        <v>#VALUE!</v>
      </c>
      <c r="BR11" s="219" t="e">
        <f>IF(AND(BO11=0,BQ11=0),3,0)</f>
        <v>#VALUE!</v>
      </c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3"/>
      <c r="FK11" s="213"/>
      <c r="FL11" s="213"/>
      <c r="FM11" s="213"/>
    </row>
    <row r="12" spans="1:169" ht="24.95" customHeight="1" thickBot="1" x14ac:dyDescent="0.25">
      <c r="A12" s="724">
        <v>4</v>
      </c>
      <c r="B12" s="725"/>
      <c r="C12" s="736">
        <f>liste!A22</f>
        <v>14</v>
      </c>
      <c r="D12" s="737"/>
      <c r="E12" s="738"/>
      <c r="F12" s="658">
        <f>IF(C12="","",VLOOKUP(C12,liste!$A$9:$G$145,7,FALSE))</f>
        <v>0</v>
      </c>
      <c r="G12" s="659" t="e">
        <f>IF(F12="","",VLOOKUP(F12,liste!$A$9:$G$145,7,FALSE))</f>
        <v>#N/A</v>
      </c>
      <c r="H12" s="660" t="e">
        <f>IF(G12="","",VLOOKUP(G12,liste!$A$9:$G$145,7,FALSE))</f>
        <v>#N/A</v>
      </c>
      <c r="I12" s="703">
        <f>IF(C12="","",VLOOKUP(C12,liste!$A$9:$G$145,2,FALSE))</f>
        <v>0</v>
      </c>
      <c r="J12" s="704"/>
      <c r="K12" s="704"/>
      <c r="L12" s="704"/>
      <c r="M12" s="704"/>
      <c r="N12" s="705"/>
      <c r="O12" s="697">
        <f>IF(C12="","",VLOOKUP(C12,liste!$A$9:$G$145,4,FALSE))</f>
        <v>0</v>
      </c>
      <c r="P12" s="698" t="str">
        <f>IF(J12="","",VLOOKUP(J12,liste!$A$9:$G$145,4,FALSE))</f>
        <v/>
      </c>
      <c r="Q12" s="713">
        <f>IF(C12="","",VLOOKUP(C12,liste!$A$9:$G$145,3,FALSE))</f>
        <v>0</v>
      </c>
      <c r="R12" s="714"/>
      <c r="S12" s="714"/>
      <c r="T12" s="714"/>
      <c r="U12" s="714"/>
      <c r="V12" s="714"/>
      <c r="W12" s="714"/>
      <c r="X12" s="714"/>
      <c r="Y12" s="715"/>
      <c r="Z12" s="713">
        <f>IF(C12="","",VLOOKUP(C12,liste!$A$9:$G$145,6,FALSE))</f>
        <v>0</v>
      </c>
      <c r="AA12" s="715" t="str">
        <f>IF(U12="","",VLOOKUP(U12,liste!$A$9:$G$145,4,FALSE))</f>
        <v/>
      </c>
      <c r="AB12" s="400" t="str">
        <f>"C"&amp;AA23&amp;C12</f>
        <v>C14</v>
      </c>
      <c r="AC12" s="213"/>
      <c r="AD12" s="213"/>
      <c r="AE12" s="214" t="s">
        <v>61</v>
      </c>
      <c r="AF12" s="216">
        <v>4</v>
      </c>
      <c r="AG12" s="220">
        <f>C12</f>
        <v>14</v>
      </c>
      <c r="AH12" s="214" t="s">
        <v>5</v>
      </c>
      <c r="AI12" s="214" t="s">
        <v>5</v>
      </c>
      <c r="AJ12" s="214"/>
      <c r="AK12" s="214"/>
      <c r="AL12" s="214" t="s">
        <v>62</v>
      </c>
      <c r="AM12" s="214" t="e">
        <f>IF($BK$9=4,$AF$9,IF($BK$10=4,$AF$10,IF($BK$11=4,$AF$11,IF($BK$12=4,$AF$12,""))))</f>
        <v>#VALUE!</v>
      </c>
      <c r="AN12" s="215"/>
      <c r="AO12" s="221" t="e">
        <f>VLOOKUP(AM12,AF9:AG12,2)</f>
        <v>#VALUE!</v>
      </c>
      <c r="AP12" s="215"/>
      <c r="AQ12" s="215"/>
      <c r="AR12" s="215"/>
      <c r="AS12" s="217" t="s">
        <v>5</v>
      </c>
      <c r="AT12" s="224"/>
      <c r="AU12" s="218"/>
      <c r="AV12" s="222" t="e">
        <f>BH12</f>
        <v>#VALUE!</v>
      </c>
      <c r="AW12" s="218"/>
      <c r="AX12" s="218" t="s">
        <v>61</v>
      </c>
      <c r="AY12" s="218" t="e">
        <f>CF21</f>
        <v>#VALUE!</v>
      </c>
      <c r="AZ12" s="218"/>
      <c r="BA12" s="219" t="e">
        <f>IF(DE21&gt;0,CX21/DE21,IF(CX21&gt;0,CX21/1,0))</f>
        <v>#VALUE!</v>
      </c>
      <c r="BB12" s="219" t="e">
        <f>IF(DS21&gt;0,IF(BA12=0,0,DL21/DS21),IF(DL21&gt;0,DL21/1,0))</f>
        <v>#VALUE!</v>
      </c>
      <c r="BC12" s="218" t="e">
        <f>IF(BA12&lt;&gt;0,IF(EG21&gt;0,DZ21/EG21,0),0)</f>
        <v>#VALUE!</v>
      </c>
      <c r="BD12" s="218" t="s">
        <v>5</v>
      </c>
      <c r="BE12" s="219" t="e">
        <f>IF(EU21&gt;0,IF(BC12=0,0,EN21/EU21),IF(EN21&gt;0,EN21/1,0))</f>
        <v>#VALUE!</v>
      </c>
      <c r="BF12" s="218" t="e">
        <f>IF(BE12&lt;&gt;0,IF(FI21&gt;0,FB21/FI21,0),0)</f>
        <v>#VALUE!</v>
      </c>
      <c r="BG12" s="219" t="s">
        <v>61</v>
      </c>
      <c r="BH12" s="223" t="e">
        <f>AY12+BA12*0.01+BB12*0.0001+BC12*0.000001+BE12*0.00000001+BF12*0.0000000001</f>
        <v>#VALUE!</v>
      </c>
      <c r="BI12" s="218"/>
      <c r="BJ12" s="218"/>
      <c r="BK12" s="219" t="e">
        <f>RANK(BH12,BH9:BH15,)</f>
        <v>#VALUE!</v>
      </c>
      <c r="BL12" s="219"/>
      <c r="BM12" s="219"/>
      <c r="BN12" s="219"/>
      <c r="BO12" s="219" t="e">
        <f>IF(BH12=MIN(BH9:BH14),4,IF(BH12=MAX(BH9:BH14),1,0))</f>
        <v>#VALUE!</v>
      </c>
      <c r="BP12" s="219" t="e">
        <f>IF(BO12=0,BH12,0)</f>
        <v>#VALUE!</v>
      </c>
      <c r="BQ12" s="219" t="e">
        <f>IF(BP12&lt;&gt;0,IF(BP12=MAX(BP9:BP14),2,IF(BP12=MIN(BP9:BP14),3,0)),0)</f>
        <v>#VALUE!</v>
      </c>
      <c r="BR12" s="219" t="e">
        <f>IF(AND(BO12=0,BQ12=0),3,0)</f>
        <v>#VALUE!</v>
      </c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3"/>
      <c r="FK12" s="213"/>
      <c r="FL12" s="213"/>
      <c r="FM12" s="213"/>
    </row>
    <row r="13" spans="1:169" ht="21.95" customHeight="1" thickBot="1" x14ac:dyDescent="0.25">
      <c r="A13" s="394"/>
      <c r="B13" s="394"/>
      <c r="C13" s="394"/>
      <c r="D13" s="394"/>
      <c r="E13" s="394"/>
      <c r="F13" s="394"/>
      <c r="G13" s="394"/>
      <c r="H13" s="390"/>
      <c r="I13" s="390"/>
      <c r="J13" s="390"/>
      <c r="K13" s="390"/>
      <c r="L13" s="390"/>
      <c r="M13" s="390"/>
      <c r="N13" s="390"/>
      <c r="O13" s="392"/>
      <c r="P13" s="392"/>
      <c r="Q13" s="392"/>
      <c r="R13" s="392"/>
      <c r="S13" s="392"/>
      <c r="T13" s="392"/>
      <c r="U13" s="392"/>
      <c r="V13" s="392"/>
      <c r="W13" s="392"/>
      <c r="X13" s="401"/>
      <c r="Y13" s="401"/>
      <c r="Z13" s="401"/>
      <c r="AA13" s="401"/>
      <c r="AC13" s="213"/>
      <c r="AD13" s="213"/>
      <c r="AE13" s="215"/>
      <c r="AF13" s="221"/>
      <c r="AG13" s="215"/>
      <c r="AH13" s="215"/>
      <c r="AI13" s="215"/>
      <c r="AJ13" s="215"/>
      <c r="AK13" s="215"/>
      <c r="AL13" s="215"/>
      <c r="AM13" s="215"/>
      <c r="AN13" s="215"/>
      <c r="AO13" s="221"/>
      <c r="AP13" s="215"/>
      <c r="AQ13" s="215"/>
      <c r="AR13" s="215"/>
      <c r="AS13" s="218"/>
      <c r="AT13" s="218"/>
      <c r="AU13" s="218"/>
      <c r="AV13" s="218"/>
      <c r="AW13" s="218"/>
      <c r="AX13" s="218"/>
      <c r="AY13" s="218"/>
      <c r="AZ13" s="218"/>
      <c r="BA13" s="219"/>
      <c r="BB13" s="219"/>
      <c r="BC13" s="218"/>
      <c r="BD13" s="218"/>
      <c r="BE13" s="219"/>
      <c r="BF13" s="218"/>
      <c r="BG13" s="219"/>
      <c r="BH13" s="223"/>
      <c r="BI13" s="218"/>
      <c r="BJ13" s="218"/>
      <c r="BK13" s="219"/>
      <c r="BL13" s="219"/>
      <c r="BM13" s="219"/>
      <c r="BN13" s="219"/>
      <c r="BO13" s="219"/>
      <c r="BP13" s="219"/>
      <c r="BQ13" s="219"/>
      <c r="BR13" s="219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3"/>
      <c r="FK13" s="213"/>
      <c r="FL13" s="213"/>
      <c r="FM13" s="213"/>
    </row>
    <row r="14" spans="1:169" ht="21.95" customHeight="1" thickBot="1" x14ac:dyDescent="0.25">
      <c r="A14" s="394"/>
      <c r="B14" s="394"/>
      <c r="C14" s="394"/>
      <c r="D14" s="394"/>
      <c r="E14" s="394"/>
      <c r="F14" s="394"/>
      <c r="G14" s="394"/>
      <c r="H14" s="390"/>
      <c r="I14" s="390"/>
      <c r="J14" s="390"/>
      <c r="K14" s="390"/>
      <c r="L14" s="390"/>
      <c r="M14" s="390"/>
      <c r="N14" s="390"/>
      <c r="O14" s="392"/>
      <c r="P14" s="392"/>
      <c r="Q14" s="392"/>
      <c r="R14" s="749" t="s">
        <v>19</v>
      </c>
      <c r="S14" s="750"/>
      <c r="T14" s="750"/>
      <c r="U14" s="750"/>
      <c r="V14" s="750"/>
      <c r="W14" s="402"/>
      <c r="X14" s="681" t="s">
        <v>10</v>
      </c>
      <c r="Y14" s="682"/>
      <c r="Z14" s="682"/>
      <c r="AA14" s="683"/>
      <c r="AC14" s="213"/>
      <c r="AD14" s="213"/>
      <c r="AE14" s="225"/>
      <c r="AF14" s="226"/>
      <c r="AG14" s="225"/>
      <c r="AH14" s="225"/>
      <c r="AI14" s="225"/>
      <c r="AJ14" s="225"/>
      <c r="AK14" s="225"/>
      <c r="AL14" s="225"/>
      <c r="AM14" s="225"/>
      <c r="AN14" s="225"/>
      <c r="AO14" s="226"/>
      <c r="AP14" s="225"/>
      <c r="AQ14" s="225"/>
      <c r="AR14" s="225"/>
      <c r="AS14" s="218"/>
      <c r="AT14" s="218"/>
      <c r="AU14" s="218"/>
      <c r="AV14" s="218"/>
      <c r="AW14" s="218"/>
      <c r="AX14" s="218"/>
      <c r="AY14" s="218"/>
      <c r="AZ14" s="218"/>
      <c r="BA14" s="219"/>
      <c r="BB14" s="219"/>
      <c r="BC14" s="218"/>
      <c r="BD14" s="218"/>
      <c r="BE14" s="218"/>
      <c r="BF14" s="218"/>
      <c r="BG14" s="219"/>
      <c r="BH14" s="223"/>
      <c r="BI14" s="218"/>
      <c r="BJ14" s="218"/>
      <c r="BK14" s="219"/>
      <c r="BL14" s="219"/>
      <c r="BM14" s="219"/>
      <c r="BN14" s="219"/>
      <c r="BO14" s="219"/>
      <c r="BP14" s="219"/>
      <c r="BQ14" s="219"/>
      <c r="BR14" s="219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3"/>
      <c r="FK14" s="213"/>
      <c r="FL14" s="213"/>
      <c r="FM14" s="213"/>
    </row>
    <row r="15" spans="1:169" ht="21.95" customHeight="1" thickBot="1" x14ac:dyDescent="0.25">
      <c r="A15" s="403"/>
      <c r="B15" s="403"/>
      <c r="C15" s="403"/>
      <c r="D15" s="403"/>
      <c r="E15" s="404" t="s">
        <v>154</v>
      </c>
      <c r="F15" s="448" t="s">
        <v>142</v>
      </c>
      <c r="G15" s="403"/>
      <c r="H15" s="401"/>
      <c r="I15" s="401"/>
      <c r="J15" s="401"/>
      <c r="K15" s="401"/>
      <c r="L15" s="401"/>
      <c r="M15" s="401"/>
      <c r="N15" s="401"/>
      <c r="O15" s="406"/>
      <c r="P15" s="406"/>
      <c r="Q15" s="406"/>
      <c r="R15" s="407">
        <v>1</v>
      </c>
      <c r="S15" s="408">
        <v>2</v>
      </c>
      <c r="T15" s="408">
        <v>3</v>
      </c>
      <c r="U15" s="409">
        <v>4</v>
      </c>
      <c r="V15" s="410">
        <v>5</v>
      </c>
      <c r="W15" s="402"/>
      <c r="X15" s="411">
        <v>1</v>
      </c>
      <c r="Y15" s="412">
        <v>2</v>
      </c>
      <c r="Z15" s="412">
        <v>3</v>
      </c>
      <c r="AA15" s="536">
        <v>4</v>
      </c>
      <c r="AC15" s="213"/>
      <c r="AD15" s="213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9"/>
      <c r="BL15" s="219"/>
      <c r="BM15" s="219"/>
      <c r="BN15" s="219"/>
      <c r="BO15" s="219"/>
      <c r="BP15" s="219"/>
      <c r="BQ15" s="219"/>
      <c r="BR15" s="219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3"/>
      <c r="FK15" s="213"/>
      <c r="FL15" s="213"/>
      <c r="FM15" s="213"/>
    </row>
    <row r="16" spans="1:169" ht="24.95" customHeight="1" x14ac:dyDescent="0.2">
      <c r="A16" s="540">
        <v>1</v>
      </c>
      <c r="B16" s="413" t="s">
        <v>13</v>
      </c>
      <c r="C16" s="414">
        <v>4</v>
      </c>
      <c r="D16" s="415" t="str">
        <f>Rens!F4</f>
        <v>Sa</v>
      </c>
      <c r="E16" s="416">
        <f>Rens!B9</f>
        <v>0</v>
      </c>
      <c r="F16" s="417">
        <f>Rens!C9</f>
        <v>0</v>
      </c>
      <c r="G16" s="671" t="str">
        <f t="shared" ref="G16:G21" si="0" xml:space="preserve"> VLOOKUP(A16,$A$9:$O$12,9)</f>
        <v>LEBRETON Marine</v>
      </c>
      <c r="H16" s="672"/>
      <c r="I16" s="672"/>
      <c r="J16" s="672"/>
      <c r="K16" s="672"/>
      <c r="L16" s="418" t="s">
        <v>9</v>
      </c>
      <c r="M16" s="672">
        <f t="shared" ref="M16:M21" si="1" xml:space="preserve"> VLOOKUP(C16,$A$9:$O$12,9)</f>
        <v>0</v>
      </c>
      <c r="N16" s="672"/>
      <c r="O16" s="672"/>
      <c r="P16" s="672"/>
      <c r="Q16" s="675"/>
      <c r="R16" s="206"/>
      <c r="S16" s="207"/>
      <c r="T16" s="207"/>
      <c r="U16" s="207"/>
      <c r="V16" s="549"/>
      <c r="W16" s="516"/>
      <c r="X16" s="520" t="str">
        <f>IF(AND(COUNTIF(($R16:$V16),"&gt;0")&gt;=2),1,IF(AND(COUNTIF(($R16:$V16),"&lt;0")&gt;=2),0,blanc))</f>
        <v xml:space="preserve"> </v>
      </c>
      <c r="Y16" s="419"/>
      <c r="Z16" s="419"/>
      <c r="AA16" s="521" t="str">
        <f>IF(AND(X16=0),1,IF(AND(X16=1),0,blanc))</f>
        <v xml:space="preserve"> </v>
      </c>
      <c r="AC16" s="213"/>
      <c r="AD16" s="213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>
        <f>BH16</f>
        <v>0</v>
      </c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 t="s">
        <v>41</v>
      </c>
      <c r="CT16" s="218"/>
      <c r="CU16" s="218"/>
      <c r="CV16" s="218"/>
      <c r="CW16" s="218"/>
      <c r="CX16" s="218"/>
      <c r="CY16" s="218"/>
      <c r="CZ16" s="218" t="s">
        <v>42</v>
      </c>
      <c r="DA16" s="218"/>
      <c r="DB16" s="218"/>
      <c r="DC16" s="218"/>
      <c r="DD16" s="218"/>
      <c r="DE16" s="213"/>
      <c r="DF16" s="218"/>
      <c r="DG16" s="218" t="s">
        <v>54</v>
      </c>
      <c r="DH16" s="218"/>
      <c r="DI16" s="218"/>
      <c r="DJ16" s="218"/>
      <c r="DK16" s="218"/>
      <c r="DL16" s="218"/>
      <c r="DM16" s="218"/>
      <c r="DN16" s="218" t="s">
        <v>55</v>
      </c>
      <c r="DO16" s="218"/>
      <c r="DP16" s="218"/>
      <c r="DQ16" s="218"/>
      <c r="DR16" s="218"/>
      <c r="DS16" s="218"/>
      <c r="DT16" s="218"/>
      <c r="DU16" s="218" t="s">
        <v>43</v>
      </c>
      <c r="DV16" s="218"/>
      <c r="DW16" s="218"/>
      <c r="DX16" s="218"/>
      <c r="DY16" s="218"/>
      <c r="DZ16" s="218"/>
      <c r="EA16" s="218"/>
      <c r="EB16" s="218" t="s">
        <v>44</v>
      </c>
      <c r="EC16" s="218"/>
      <c r="ED16" s="218"/>
      <c r="EE16" s="218"/>
      <c r="EF16" s="218"/>
      <c r="EG16" s="218"/>
      <c r="EH16" s="218"/>
      <c r="EI16" s="218" t="s">
        <v>56</v>
      </c>
      <c r="EJ16" s="218"/>
      <c r="EK16" s="218"/>
      <c r="EL16" s="218"/>
      <c r="EM16" s="218"/>
      <c r="EN16" s="218"/>
      <c r="EO16" s="218"/>
      <c r="EP16" s="218" t="s">
        <v>57</v>
      </c>
      <c r="EQ16" s="218"/>
      <c r="ER16" s="218"/>
      <c r="ES16" s="218"/>
      <c r="ET16" s="218"/>
      <c r="EU16" s="218"/>
      <c r="EV16" s="218"/>
      <c r="EW16" s="218" t="s">
        <v>45</v>
      </c>
      <c r="EX16" s="218"/>
      <c r="EY16" s="218"/>
      <c r="EZ16" s="218"/>
      <c r="FA16" s="218"/>
      <c r="FB16" s="218"/>
      <c r="FC16" s="218"/>
      <c r="FD16" s="218" t="s">
        <v>46</v>
      </c>
      <c r="FE16" s="218"/>
      <c r="FF16" s="218"/>
      <c r="FG16" s="218"/>
      <c r="FH16" s="218"/>
      <c r="FI16" s="218"/>
      <c r="FJ16" s="213"/>
      <c r="FK16" s="213"/>
      <c r="FL16" s="213"/>
      <c r="FM16" s="213"/>
    </row>
    <row r="17" spans="1:169" ht="24.95" customHeight="1" thickBot="1" x14ac:dyDescent="0.25">
      <c r="A17" s="541">
        <v>2</v>
      </c>
      <c r="B17" s="420" t="s">
        <v>13</v>
      </c>
      <c r="C17" s="421">
        <v>3</v>
      </c>
      <c r="D17" s="422"/>
      <c r="E17" s="423">
        <f>E16+0.014</f>
        <v>1.4E-2</v>
      </c>
      <c r="F17" s="424">
        <f>F16</f>
        <v>0</v>
      </c>
      <c r="G17" s="673" t="str">
        <f t="shared" si="0"/>
        <v>LE BOEUF Léanne</v>
      </c>
      <c r="H17" s="667"/>
      <c r="I17" s="667"/>
      <c r="J17" s="667"/>
      <c r="K17" s="667"/>
      <c r="L17" s="425" t="s">
        <v>9</v>
      </c>
      <c r="M17" s="667" t="str">
        <f t="shared" si="1"/>
        <v>MENAGER Chloe</v>
      </c>
      <c r="N17" s="667"/>
      <c r="O17" s="667"/>
      <c r="P17" s="667"/>
      <c r="Q17" s="668"/>
      <c r="R17" s="208"/>
      <c r="S17" s="209"/>
      <c r="T17" s="209"/>
      <c r="U17" s="210"/>
      <c r="V17" s="550"/>
      <c r="W17" s="516"/>
      <c r="X17" s="522"/>
      <c r="Y17" s="518" t="str">
        <f>IF(AND(COUNTIF(($R17:$V17),"&gt;0")&gt;=2),1,IF(AND(COUNTIF(($R17:$V17),"&lt;0")&gt;=2),0,blanc))</f>
        <v xml:space="preserve"> </v>
      </c>
      <c r="Z17" s="518" t="str">
        <f>IF(AND(Y17=0),1,IF(AND(Y17=1),0,blanc))</f>
        <v xml:space="preserve"> </v>
      </c>
      <c r="AA17" s="523"/>
      <c r="AC17" s="213"/>
      <c r="AD17" s="213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 t="s">
        <v>33</v>
      </c>
      <c r="BV17" s="218" t="s">
        <v>5</v>
      </c>
      <c r="BW17" s="218" t="s">
        <v>35</v>
      </c>
      <c r="BX17" s="218"/>
      <c r="BY17" s="218" t="s">
        <v>36</v>
      </c>
      <c r="BZ17" s="218"/>
      <c r="CA17" s="218" t="s">
        <v>61</v>
      </c>
      <c r="CB17" s="218"/>
      <c r="CC17" s="218"/>
      <c r="CD17" s="218"/>
      <c r="CE17" s="218"/>
      <c r="CF17" s="227" t="s">
        <v>52</v>
      </c>
      <c r="CG17" s="227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28" t="s">
        <v>33</v>
      </c>
      <c r="CT17" s="219" t="s">
        <v>35</v>
      </c>
      <c r="CU17" s="219" t="s">
        <v>36</v>
      </c>
      <c r="CV17" s="219" t="s">
        <v>61</v>
      </c>
      <c r="CW17" s="219"/>
      <c r="CX17" s="229"/>
      <c r="CY17" s="218"/>
      <c r="CZ17" s="228" t="s">
        <v>33</v>
      </c>
      <c r="DA17" s="219" t="s">
        <v>35</v>
      </c>
      <c r="DB17" s="219" t="s">
        <v>36</v>
      </c>
      <c r="DC17" s="219" t="s">
        <v>61</v>
      </c>
      <c r="DD17" s="219"/>
      <c r="DE17" s="213"/>
      <c r="DF17" s="218"/>
      <c r="DG17" s="228" t="s">
        <v>33</v>
      </c>
      <c r="DH17" s="219" t="s">
        <v>35</v>
      </c>
      <c r="DI17" s="219" t="s">
        <v>36</v>
      </c>
      <c r="DJ17" s="219" t="s">
        <v>61</v>
      </c>
      <c r="DK17" s="219"/>
      <c r="DL17" s="229"/>
      <c r="DM17" s="218"/>
      <c r="DN17" s="228" t="s">
        <v>33</v>
      </c>
      <c r="DO17" s="219" t="s">
        <v>35</v>
      </c>
      <c r="DP17" s="219" t="s">
        <v>36</v>
      </c>
      <c r="DQ17" s="219" t="s">
        <v>61</v>
      </c>
      <c r="DR17" s="219"/>
      <c r="DS17" s="226"/>
      <c r="DT17" s="213"/>
      <c r="DU17" s="228" t="s">
        <v>33</v>
      </c>
      <c r="DV17" s="219" t="s">
        <v>35</v>
      </c>
      <c r="DW17" s="219" t="s">
        <v>36</v>
      </c>
      <c r="DX17" s="219" t="s">
        <v>61</v>
      </c>
      <c r="DY17" s="219"/>
      <c r="DZ17" s="226"/>
      <c r="EA17" s="213"/>
      <c r="EB17" s="228" t="s">
        <v>33</v>
      </c>
      <c r="EC17" s="219" t="s">
        <v>35</v>
      </c>
      <c r="ED17" s="219" t="s">
        <v>36</v>
      </c>
      <c r="EE17" s="219" t="s">
        <v>61</v>
      </c>
      <c r="EF17" s="219"/>
      <c r="EG17" s="229"/>
      <c r="EH17" s="213"/>
      <c r="EI17" s="228" t="s">
        <v>33</v>
      </c>
      <c r="EJ17" s="219" t="s">
        <v>35</v>
      </c>
      <c r="EK17" s="219" t="s">
        <v>36</v>
      </c>
      <c r="EL17" s="219" t="s">
        <v>61</v>
      </c>
      <c r="EM17" s="219"/>
      <c r="EN17" s="229"/>
      <c r="EO17" s="213"/>
      <c r="EP17" s="228" t="s">
        <v>33</v>
      </c>
      <c r="EQ17" s="219" t="s">
        <v>35</v>
      </c>
      <c r="ER17" s="219" t="s">
        <v>36</v>
      </c>
      <c r="ES17" s="219" t="s">
        <v>61</v>
      </c>
      <c r="ET17" s="219"/>
      <c r="EU17" s="219"/>
      <c r="EV17" s="213"/>
      <c r="EW17" s="228" t="s">
        <v>33</v>
      </c>
      <c r="EX17" s="219" t="s">
        <v>35</v>
      </c>
      <c r="EY17" s="219" t="s">
        <v>36</v>
      </c>
      <c r="EZ17" s="219" t="s">
        <v>61</v>
      </c>
      <c r="FA17" s="219"/>
      <c r="FB17" s="219"/>
      <c r="FC17" s="213"/>
      <c r="FD17" s="228" t="s">
        <v>33</v>
      </c>
      <c r="FE17" s="219" t="s">
        <v>35</v>
      </c>
      <c r="FF17" s="219" t="s">
        <v>36</v>
      </c>
      <c r="FG17" s="219" t="s">
        <v>61</v>
      </c>
      <c r="FH17" s="219"/>
      <c r="FI17" s="229"/>
      <c r="FJ17" s="213"/>
      <c r="FK17" s="213"/>
      <c r="FL17" s="213"/>
      <c r="FM17" s="213"/>
    </row>
    <row r="18" spans="1:169" ht="24.95" customHeight="1" thickTop="1" x14ac:dyDescent="0.2">
      <c r="A18" s="541">
        <v>1</v>
      </c>
      <c r="B18" s="420" t="s">
        <v>13</v>
      </c>
      <c r="C18" s="421">
        <v>3</v>
      </c>
      <c r="D18" s="422" t="str">
        <f>D16</f>
        <v>Sa</v>
      </c>
      <c r="E18" s="423">
        <f>E17+0.014</f>
        <v>2.8000000000000001E-2</v>
      </c>
      <c r="F18" s="424">
        <f>F16</f>
        <v>0</v>
      </c>
      <c r="G18" s="673" t="str">
        <f t="shared" si="0"/>
        <v>LEBRETON Marine</v>
      </c>
      <c r="H18" s="667"/>
      <c r="I18" s="667"/>
      <c r="J18" s="667"/>
      <c r="K18" s="667"/>
      <c r="L18" s="425" t="s">
        <v>9</v>
      </c>
      <c r="M18" s="667" t="str">
        <f t="shared" si="1"/>
        <v>MENAGER Chloe</v>
      </c>
      <c r="N18" s="667"/>
      <c r="O18" s="667"/>
      <c r="P18" s="667"/>
      <c r="Q18" s="668"/>
      <c r="R18" s="211"/>
      <c r="S18" s="210"/>
      <c r="T18" s="210"/>
      <c r="U18" s="210"/>
      <c r="V18" s="550"/>
      <c r="W18" s="516"/>
      <c r="X18" s="524" t="str">
        <f>IF(AND(COUNTIF(($R18:$V18),"&gt;0")&gt;=2),1,IF(AND(COUNTIF(($R18:$V18),"&lt;0")&gt;=2),0,blanc))</f>
        <v xml:space="preserve"> </v>
      </c>
      <c r="Y18" s="426"/>
      <c r="Z18" s="518" t="str">
        <f>IF(AND(X18=0),1,IF(AND(X18=1),0,blanc))</f>
        <v xml:space="preserve"> </v>
      </c>
      <c r="AA18" s="523"/>
      <c r="AC18" s="230" t="s">
        <v>37</v>
      </c>
      <c r="AD18" s="231" t="str">
        <f>AI7</f>
        <v>IG1</v>
      </c>
      <c r="AE18" s="232"/>
      <c r="AF18" s="233" t="s">
        <v>63</v>
      </c>
      <c r="AG18" s="234"/>
      <c r="AH18" s="233" t="s">
        <v>64</v>
      </c>
      <c r="AI18" s="234"/>
      <c r="AJ18" s="233" t="s">
        <v>65</v>
      </c>
      <c r="AK18" s="234"/>
      <c r="AL18" s="233" t="s">
        <v>66</v>
      </c>
      <c r="AM18" s="235"/>
      <c r="AN18" s="233" t="s">
        <v>67</v>
      </c>
      <c r="AO18" s="236"/>
      <c r="AP18" s="237" t="s">
        <v>38</v>
      </c>
      <c r="AQ18" s="238"/>
      <c r="AR18" s="238"/>
      <c r="AS18" s="238"/>
      <c r="AT18" s="239"/>
      <c r="AU18" s="240"/>
      <c r="AV18" s="213"/>
      <c r="AW18" s="213"/>
      <c r="AX18" s="213"/>
      <c r="AY18" s="241" t="s">
        <v>38</v>
      </c>
      <c r="AZ18" s="232"/>
      <c r="BA18" s="232"/>
      <c r="BB18" s="232"/>
      <c r="BC18" s="242" t="s">
        <v>68</v>
      </c>
      <c r="BD18" s="232"/>
      <c r="BE18" s="232"/>
      <c r="BF18" s="232"/>
      <c r="BG18" s="232"/>
      <c r="BH18" s="232"/>
      <c r="BI18" s="232"/>
      <c r="BJ18" s="232"/>
      <c r="BK18" s="232"/>
      <c r="BL18" s="242" t="s">
        <v>39</v>
      </c>
      <c r="BM18" s="242" t="s">
        <v>40</v>
      </c>
      <c r="BN18" s="242"/>
      <c r="BO18" s="243"/>
      <c r="BQ18" s="200"/>
      <c r="BR18" s="225"/>
      <c r="BS18" s="214" t="str">
        <f>AE9</f>
        <v>A</v>
      </c>
      <c r="BT18" s="244"/>
      <c r="BU18" s="244"/>
      <c r="BV18" s="214" t="str">
        <f>BH24</f>
        <v>M</v>
      </c>
      <c r="BW18" s="214" t="e">
        <f>BL24</f>
        <v>#VALUE!</v>
      </c>
      <c r="BX18" s="214" t="str">
        <f>BH22</f>
        <v>M</v>
      </c>
      <c r="BY18" s="214" t="e">
        <f>BL22</f>
        <v>#VALUE!</v>
      </c>
      <c r="BZ18" s="214" t="str">
        <f>BH20</f>
        <v>M</v>
      </c>
      <c r="CA18" s="245" t="e">
        <f>BL20</f>
        <v>#VALUE!</v>
      </c>
      <c r="CB18" s="225"/>
      <c r="CC18" s="225"/>
      <c r="CD18" s="246"/>
      <c r="CE18" s="246"/>
      <c r="CF18" s="226" t="e">
        <f t="shared" ref="CF18:CF24" si="2">SUM(CH18:CL18)</f>
        <v>#VALUE!</v>
      </c>
      <c r="CG18" s="219" t="e">
        <f t="shared" ref="CG18:CG24" si="3">SUM(CM18:CQ18)</f>
        <v>#VALUE!</v>
      </c>
      <c r="CH18" s="214" t="e">
        <f>IF(BV18&gt;BW18,1,0)</f>
        <v>#VALUE!</v>
      </c>
      <c r="CI18" s="214" t="e">
        <f>IF(BX18&gt;BY18,1,0)</f>
        <v>#VALUE!</v>
      </c>
      <c r="CJ18" s="214" t="e">
        <f>IF(BZ18&gt;CA18,1,0)</f>
        <v>#VALUE!</v>
      </c>
      <c r="CK18" s="214">
        <f>IF(CB18&gt;CC18,1,0)</f>
        <v>0</v>
      </c>
      <c r="CL18" s="214">
        <f>IF(CD18&gt;CE18,1,0)</f>
        <v>0</v>
      </c>
      <c r="CM18" s="247" t="e">
        <f>IF(BV18&lt;BW18,1,0)</f>
        <v>#VALUE!</v>
      </c>
      <c r="CN18" s="214" t="e">
        <f>IF(BX18&lt;BY18,1,0)</f>
        <v>#VALUE!</v>
      </c>
      <c r="CO18" s="214" t="e">
        <f>IF(BZ18&lt;CA18,1,0)</f>
        <v>#VALUE!</v>
      </c>
      <c r="CP18" s="214">
        <f>IF(CB18&lt;CC18,1,0)</f>
        <v>0</v>
      </c>
      <c r="CQ18" s="214">
        <f>IF(CD18&lt;CE18,1,0)</f>
        <v>0</v>
      </c>
      <c r="CR18" s="214" t="s">
        <v>33</v>
      </c>
      <c r="CS18" s="248" t="s">
        <v>53</v>
      </c>
      <c r="CT18" s="216" t="e">
        <f>IF(CF18=CF19,AY24,"xxx")</f>
        <v>#VALUE!</v>
      </c>
      <c r="CU18" s="216" t="e">
        <f>IF(CF18=CF20,AY22,"xxx")</f>
        <v>#VALUE!</v>
      </c>
      <c r="CV18" s="216" t="e">
        <f>IF(CF18=CF21,AY20,"xxx")</f>
        <v>#VALUE!</v>
      </c>
      <c r="CW18" s="249"/>
      <c r="CX18" s="226" t="e">
        <f>SUM(CS18:CW18)</f>
        <v>#VALUE!</v>
      </c>
      <c r="CY18" s="214" t="s">
        <v>33</v>
      </c>
      <c r="CZ18" s="248" t="s">
        <v>53</v>
      </c>
      <c r="DA18" s="216" t="e">
        <f>IF(CF18=CF19,AZ24,"xxx")</f>
        <v>#VALUE!</v>
      </c>
      <c r="DB18" s="216" t="e">
        <f>IF(CF18=CF20,BA22,"xxx")</f>
        <v>#VALUE!</v>
      </c>
      <c r="DC18" s="216" t="e">
        <f>IF(CF18=CF21,BB20,"xxx")</f>
        <v>#VALUE!</v>
      </c>
      <c r="DD18" s="249"/>
      <c r="DE18" s="226" t="e">
        <f>SUM(CZ18:DD18)</f>
        <v>#VALUE!</v>
      </c>
      <c r="DF18" s="214" t="s">
        <v>33</v>
      </c>
      <c r="DG18" s="248" t="s">
        <v>53</v>
      </c>
      <c r="DH18" s="216" t="e">
        <f>IF(AND(BA9&lt;&gt;0,AY9=AY10),IF(BA9=BA10,AY24,"xxx"),"xxx")</f>
        <v>#VALUE!</v>
      </c>
      <c r="DI18" s="216" t="e">
        <f>IF(AND(BA9&lt;&gt;0,AY9=AY11),IF(BA9=BA11,AY22,"xxx"),"xxx")</f>
        <v>#VALUE!</v>
      </c>
      <c r="DJ18" s="216" t="e">
        <f>IF(AND(BA9&lt;&gt;0,AY9=AY12),IF(BA9=BA12,AY20,"xxx"),"xxx")</f>
        <v>#VALUE!</v>
      </c>
      <c r="DK18" s="249"/>
      <c r="DL18" s="226" t="e">
        <f>SUM(DG18:DK18)</f>
        <v>#VALUE!</v>
      </c>
      <c r="DM18" s="214" t="s">
        <v>33</v>
      </c>
      <c r="DN18" s="248" t="s">
        <v>53</v>
      </c>
      <c r="DO18" s="216" t="e">
        <f>IF(AND(BA9&lt;&gt;0,AY9=AY10),IF(BA9=BA10,AZ24,"xxx"),"xxx")</f>
        <v>#VALUE!</v>
      </c>
      <c r="DP18" s="216" t="e">
        <f>IF(AND(BA9&lt;&gt;0,AY9=AY11),IF(BA9=BA11,BA22,"xxx"),"xxx")</f>
        <v>#VALUE!</v>
      </c>
      <c r="DQ18" s="216" t="e">
        <f>IF(AND(BA9&lt;&gt;0,AY9=AY12),IF(BA9=BA12,BB20,"xxx"),"xxx")</f>
        <v>#VALUE!</v>
      </c>
      <c r="DR18" s="249"/>
      <c r="DS18" s="226" t="e">
        <f>SUM(DN18:DR18)</f>
        <v>#VALUE!</v>
      </c>
      <c r="DT18" s="214" t="s">
        <v>33</v>
      </c>
      <c r="DU18" s="248" t="s">
        <v>53</v>
      </c>
      <c r="DV18" s="216" t="e">
        <f>IF(AND(CF18=CF19,BA9=BA10),BH24,"kkk")</f>
        <v>#VALUE!</v>
      </c>
      <c r="DW18" s="216" t="e">
        <f>IF(AND(CF18=CF20,BA9=BA11),BH22,"kkk")</f>
        <v>#VALUE!</v>
      </c>
      <c r="DX18" s="216" t="e">
        <f>IF(AND(CF18=CF21,BA9=BA12),BH20,"kkk")</f>
        <v>#VALUE!</v>
      </c>
      <c r="DY18" s="249"/>
      <c r="DZ18" s="226" t="e">
        <f>SUM(DU18:DY18)</f>
        <v>#VALUE!</v>
      </c>
      <c r="EA18" s="214" t="s">
        <v>33</v>
      </c>
      <c r="EB18" s="248" t="s">
        <v>53</v>
      </c>
      <c r="EC18" s="216" t="e">
        <f>IF(AND(CF18=CF19,BA9=BA10),BL24,"kkk")</f>
        <v>#VALUE!</v>
      </c>
      <c r="ED18" s="216" t="e">
        <f>IF(AND(CF18=CF20,BA9=BA11),BL22,"kkk")</f>
        <v>#VALUE!</v>
      </c>
      <c r="EE18" s="216" t="e">
        <f>IF(AND(CF18=CF21,BA9=BA12),BL20,"kkk")</f>
        <v>#VALUE!</v>
      </c>
      <c r="EF18" s="249"/>
      <c r="EG18" s="226" t="e">
        <f>SUM(EB18:EF18)</f>
        <v>#VALUE!</v>
      </c>
      <c r="EH18" s="214" t="s">
        <v>33</v>
      </c>
      <c r="EI18" s="248" t="s">
        <v>53</v>
      </c>
      <c r="EJ18" s="216" t="e">
        <f>IF(BD9&lt;&gt;"ùùù",IF(AND(CF18=CF19,BD9=BD10),BH24,"kkk"),"kkk")</f>
        <v>#VALUE!</v>
      </c>
      <c r="EK18" s="216" t="e">
        <f>IF(BD9&lt;&gt;"ùùù",IF(AND(CF18=CF20,BD9=BD11),BH22,"kkk"),"kkk")</f>
        <v>#VALUE!</v>
      </c>
      <c r="EL18" s="216" t="e">
        <f>IF(BD9&lt;&gt;"ùùù",IF(AND(CF18=CF21,BD9=BD12),BH20,"kkk"),"kkk")</f>
        <v>#VALUE!</v>
      </c>
      <c r="EM18" s="249"/>
      <c r="EN18" s="226" t="e">
        <f>SUM(EI18:EM18)</f>
        <v>#VALUE!</v>
      </c>
      <c r="EO18" s="214" t="s">
        <v>33</v>
      </c>
      <c r="EP18" s="248" t="s">
        <v>53</v>
      </c>
      <c r="EQ18" s="216" t="e">
        <f>IF(BD9&lt;&gt;"ùùù",IF(AND(CF18=CF19,BD9=BD10),BL24,"kkk"),"kkk")</f>
        <v>#VALUE!</v>
      </c>
      <c r="ER18" s="216" t="e">
        <f>IF(BD9&lt;&gt;"ùùù",IF(AND(CF18=CF20,BD9=BD11),BL22,"kkk"),"kkk")</f>
        <v>#VALUE!</v>
      </c>
      <c r="ES18" s="216" t="e">
        <f>IF(BD9&lt;&gt;"ùùù",IF(AND(CF18=CF21,BD9=BD12),BL20,"kkk"),"kkk")</f>
        <v>#VALUE!</v>
      </c>
      <c r="ET18" s="249"/>
      <c r="EU18" s="226" t="e">
        <f>SUM(EP18:ET18)</f>
        <v>#VALUE!</v>
      </c>
      <c r="EV18" s="214" t="s">
        <v>33</v>
      </c>
      <c r="EW18" s="248" t="s">
        <v>53</v>
      </c>
      <c r="EX18" s="216" t="e">
        <f>IF(AND(CF18=CF19,BC9=BC10),+AF24+AH24+AJ24+AL24+AN24,"xxx")</f>
        <v>#VALUE!</v>
      </c>
      <c r="EY18" s="216" t="e">
        <f>IF(AND(CF18=CF20,BC9=BC11),+AF22+AH22+AJ22+AL22+AN22,"xxx")</f>
        <v>#VALUE!</v>
      </c>
      <c r="EZ18" s="216" t="e">
        <f>IF(AND(CF18=CF21,BC9=BC12),+AF20+AH20+AJ20+AL20+AN20,"xxx")</f>
        <v>#VALUE!</v>
      </c>
      <c r="FA18" s="249"/>
      <c r="FB18" s="226" t="e">
        <f>SUM(EW18:FA18)</f>
        <v>#VALUE!</v>
      </c>
      <c r="FC18" s="214" t="s">
        <v>33</v>
      </c>
      <c r="FD18" s="248" t="s">
        <v>53</v>
      </c>
      <c r="FE18" s="216" t="e">
        <f>IF(AND(CF18=CF19,BC9=BC10),+AG24+AI24+AK24+AM24+AO24,"xxx")</f>
        <v>#VALUE!</v>
      </c>
      <c r="FF18" s="216" t="e">
        <f>IF(AND(CF18=CF20,BC9=BC11),+AG22+AI22+AK22+AM22+AO22,"xxx")</f>
        <v>#VALUE!</v>
      </c>
      <c r="FG18" s="216" t="e">
        <f>IF(AND(CF18=CF21,BC9=BC12),+AG20+AI20+AK20+AM20+AO20,"xxx")</f>
        <v>#VALUE!</v>
      </c>
      <c r="FH18" s="249"/>
      <c r="FI18" s="226" t="e">
        <f>SUM(FD18:FH18)</f>
        <v>#VALUE!</v>
      </c>
      <c r="FJ18" s="213"/>
      <c r="FK18" s="213"/>
      <c r="FL18" s="213"/>
      <c r="FM18" s="213"/>
    </row>
    <row r="19" spans="1:169" ht="24.95" customHeight="1" x14ac:dyDescent="0.2">
      <c r="A19" s="541">
        <v>2</v>
      </c>
      <c r="B19" s="420" t="s">
        <v>13</v>
      </c>
      <c r="C19" s="421">
        <v>4</v>
      </c>
      <c r="D19" s="422"/>
      <c r="E19" s="423">
        <f>E18+0.014</f>
        <v>4.2000000000000003E-2</v>
      </c>
      <c r="F19" s="424">
        <f>F16</f>
        <v>0</v>
      </c>
      <c r="G19" s="673" t="str">
        <f t="shared" si="0"/>
        <v>LE BOEUF Léanne</v>
      </c>
      <c r="H19" s="667"/>
      <c r="I19" s="667"/>
      <c r="J19" s="667"/>
      <c r="K19" s="667"/>
      <c r="L19" s="425" t="s">
        <v>9</v>
      </c>
      <c r="M19" s="667">
        <f t="shared" si="1"/>
        <v>0</v>
      </c>
      <c r="N19" s="667"/>
      <c r="O19" s="667"/>
      <c r="P19" s="667"/>
      <c r="Q19" s="668"/>
      <c r="R19" s="211"/>
      <c r="S19" s="210"/>
      <c r="T19" s="210"/>
      <c r="U19" s="210"/>
      <c r="V19" s="550"/>
      <c r="W19" s="516"/>
      <c r="X19" s="522"/>
      <c r="Y19" s="518" t="str">
        <f>IF(AND(COUNTIF(($R19:$V19),"&gt;0")&gt;=2),1,IF(AND(COUNTIF(($R19:$V19),"&lt;0")&gt;=2),0,blanc))</f>
        <v xml:space="preserve"> </v>
      </c>
      <c r="Z19" s="426"/>
      <c r="AA19" s="525" t="str">
        <f>IF(AND(Y19=0),1,IF(AND(Y19=1),0,blanc))</f>
        <v xml:space="preserve"> </v>
      </c>
      <c r="AC19" s="747" t="s">
        <v>47</v>
      </c>
      <c r="AD19" s="748"/>
      <c r="AE19" s="250" t="s">
        <v>48</v>
      </c>
      <c r="AF19" s="251" t="s">
        <v>49</v>
      </c>
      <c r="AG19" s="252" t="s">
        <v>50</v>
      </c>
      <c r="AH19" s="252" t="s">
        <v>49</v>
      </c>
      <c r="AI19" s="252" t="s">
        <v>50</v>
      </c>
      <c r="AJ19" s="252" t="s">
        <v>49</v>
      </c>
      <c r="AK19" s="252" t="s">
        <v>50</v>
      </c>
      <c r="AL19" s="252" t="s">
        <v>49</v>
      </c>
      <c r="AM19" s="252" t="s">
        <v>50</v>
      </c>
      <c r="AN19" s="252" t="s">
        <v>49</v>
      </c>
      <c r="AO19" s="253" t="s">
        <v>50</v>
      </c>
      <c r="AP19" s="254" t="s">
        <v>33</v>
      </c>
      <c r="AQ19" s="216" t="s">
        <v>35</v>
      </c>
      <c r="AR19" s="216" t="s">
        <v>36</v>
      </c>
      <c r="AS19" s="216" t="s">
        <v>61</v>
      </c>
      <c r="AT19" s="255"/>
      <c r="AU19" s="229"/>
      <c r="AV19" s="224"/>
      <c r="AW19" s="224"/>
      <c r="AX19" s="224"/>
      <c r="AY19" s="256" t="s">
        <v>33</v>
      </c>
      <c r="AZ19" s="216" t="s">
        <v>35</v>
      </c>
      <c r="BA19" s="216" t="s">
        <v>36</v>
      </c>
      <c r="BB19" s="216" t="s">
        <v>61</v>
      </c>
      <c r="BC19" s="216">
        <v>1</v>
      </c>
      <c r="BD19" s="216">
        <v>2</v>
      </c>
      <c r="BE19" s="216">
        <v>3</v>
      </c>
      <c r="BF19" s="216">
        <v>4</v>
      </c>
      <c r="BG19" s="216">
        <v>5</v>
      </c>
      <c r="BH19" s="216" t="s">
        <v>40</v>
      </c>
      <c r="BI19" s="216" t="s">
        <v>51</v>
      </c>
      <c r="BJ19" s="216"/>
      <c r="BK19" s="216"/>
      <c r="BL19" s="216" t="s">
        <v>69</v>
      </c>
      <c r="BM19" s="216" t="s">
        <v>40</v>
      </c>
      <c r="BN19" s="216"/>
      <c r="BO19" s="257"/>
      <c r="BQ19" s="200"/>
      <c r="BR19" s="225"/>
      <c r="BS19" s="214" t="str">
        <f>AE10</f>
        <v>B</v>
      </c>
      <c r="BT19" s="214" t="e">
        <f>BW18</f>
        <v>#VALUE!</v>
      </c>
      <c r="BU19" s="214" t="str">
        <f>BV18</f>
        <v>M</v>
      </c>
      <c r="BV19" s="244"/>
      <c r="BW19" s="244"/>
      <c r="BX19" s="214" t="str">
        <f>BH21</f>
        <v>M</v>
      </c>
      <c r="BY19" s="214" t="e">
        <f>BL21</f>
        <v>#VALUE!</v>
      </c>
      <c r="BZ19" s="214" t="str">
        <f>BH23</f>
        <v>M</v>
      </c>
      <c r="CA19" s="245" t="e">
        <f>BL23</f>
        <v>#VALUE!</v>
      </c>
      <c r="CB19" s="225"/>
      <c r="CC19" s="225"/>
      <c r="CD19" s="246"/>
      <c r="CE19" s="246"/>
      <c r="CF19" s="226" t="e">
        <f t="shared" si="2"/>
        <v>#VALUE!</v>
      </c>
      <c r="CG19" s="219" t="e">
        <f t="shared" si="3"/>
        <v>#VALUE!</v>
      </c>
      <c r="CH19" s="214" t="e">
        <f>IF(BT19&gt;BU19,1,0)</f>
        <v>#VALUE!</v>
      </c>
      <c r="CI19" s="214" t="e">
        <f>IF(BX19&gt;BY19,1,0)</f>
        <v>#VALUE!</v>
      </c>
      <c r="CJ19" s="214" t="e">
        <f>IF(BZ19&gt;CA19,1,0)</f>
        <v>#VALUE!</v>
      </c>
      <c r="CK19" s="214">
        <f>IF(CB19&gt;CC19,1,0)</f>
        <v>0</v>
      </c>
      <c r="CL19" s="214">
        <f>IF(CD19&gt;CE19,1,0)</f>
        <v>0</v>
      </c>
      <c r="CM19" s="247" t="e">
        <f>IF(BT19&lt;BU19,1,0)</f>
        <v>#VALUE!</v>
      </c>
      <c r="CN19" s="214" t="e">
        <f>IF(BX19&lt;BY19,1,0)</f>
        <v>#VALUE!</v>
      </c>
      <c r="CO19" s="214" t="e">
        <f>IF(BZ19&lt;CA19,1,0)</f>
        <v>#VALUE!</v>
      </c>
      <c r="CP19" s="214">
        <f>IF(CB19&lt;CC19,1,0)</f>
        <v>0</v>
      </c>
      <c r="CQ19" s="214">
        <f>IF(CD19&lt;CE19,1,0)</f>
        <v>0</v>
      </c>
      <c r="CR19" s="214" t="s">
        <v>35</v>
      </c>
      <c r="CS19" s="216" t="e">
        <f>IF(CF19=CF18,AZ24,"xxx")</f>
        <v>#VALUE!</v>
      </c>
      <c r="CT19" s="248" t="s">
        <v>53</v>
      </c>
      <c r="CU19" s="216" t="e">
        <f>IF(CF19=CF20,AZ21,"xxx")</f>
        <v>#VALUE!</v>
      </c>
      <c r="CV19" s="216" t="e">
        <f>IF(CF19=CF21,AZ23,"xxx")</f>
        <v>#VALUE!</v>
      </c>
      <c r="CW19" s="249"/>
      <c r="CX19" s="226" t="e">
        <f>SUM(CS19:CW19)</f>
        <v>#VALUE!</v>
      </c>
      <c r="CY19" s="214" t="s">
        <v>35</v>
      </c>
      <c r="CZ19" s="216" t="e">
        <f>IF(CF19=CF18,AY24,"xxx")</f>
        <v>#VALUE!</v>
      </c>
      <c r="DA19" s="248" t="s">
        <v>53</v>
      </c>
      <c r="DB19" s="216" t="e">
        <f>IF(CF19=CF20,BA21,"xxx")</f>
        <v>#VALUE!</v>
      </c>
      <c r="DC19" s="216" t="e">
        <f>IF(CF19=CF21,BB23,"xxx")</f>
        <v>#VALUE!</v>
      </c>
      <c r="DD19" s="249"/>
      <c r="DE19" s="226" t="e">
        <f>SUM(CZ19:DD19)</f>
        <v>#VALUE!</v>
      </c>
      <c r="DF19" s="214" t="s">
        <v>35</v>
      </c>
      <c r="DG19" s="216" t="e">
        <f>IF(AND(BA10&lt;&gt;0,AY10=AY9),IF(BA10=BA9,AZ24,"xxx"),"xxx")</f>
        <v>#VALUE!</v>
      </c>
      <c r="DH19" s="248" t="s">
        <v>53</v>
      </c>
      <c r="DI19" s="216" t="e">
        <f>IF(AND(BA10&lt;&gt;0,AY10=AY11),IF(BA10=BA11,AZ21,"xxx"),"xxx")</f>
        <v>#VALUE!</v>
      </c>
      <c r="DJ19" s="216" t="e">
        <f>IF(AND(BA10&lt;&gt;0,AY10=AY12),IF(BA10=BA12,AZ23,"xxx"),"xxx")</f>
        <v>#VALUE!</v>
      </c>
      <c r="DK19" s="249"/>
      <c r="DL19" s="226" t="e">
        <f>SUM(DG19:DK19)</f>
        <v>#VALUE!</v>
      </c>
      <c r="DM19" s="214" t="s">
        <v>35</v>
      </c>
      <c r="DN19" s="216" t="e">
        <f>IF(AND(BA10&lt;&gt;0,AY10=AY9),IF(BA10=BA9,AY24,"xxx"),"xxx")</f>
        <v>#VALUE!</v>
      </c>
      <c r="DO19" s="248" t="s">
        <v>53</v>
      </c>
      <c r="DP19" s="216" t="e">
        <f>IF(AND(BA10&lt;&gt;0,AY10=AY11),IF(BA10=BA11,BA21,"xxx"),"xxx")</f>
        <v>#VALUE!</v>
      </c>
      <c r="DQ19" s="216" t="e">
        <f>IF(AND(BA10&lt;&gt;0,AY10=AY12),IF(BA10=BA12,BB23,"xxx"),"xxx")</f>
        <v>#VALUE!</v>
      </c>
      <c r="DR19" s="249"/>
      <c r="DS19" s="226" t="e">
        <f>SUM(DN19:DR19)</f>
        <v>#VALUE!</v>
      </c>
      <c r="DT19" s="214" t="s">
        <v>35</v>
      </c>
      <c r="DU19" s="216" t="e">
        <f>IF(AND(CF19=CF18,BA10=BA9),BL24,"kkk")</f>
        <v>#VALUE!</v>
      </c>
      <c r="DV19" s="248" t="s">
        <v>53</v>
      </c>
      <c r="DW19" s="216" t="e">
        <f>IF(AND(CF19=CF20,BA10=BA11),BH21,"kkk")</f>
        <v>#VALUE!</v>
      </c>
      <c r="DX19" s="216" t="e">
        <f>IF(AND(CF19=CF21,BA10=BA12),BH23,"kkk")</f>
        <v>#VALUE!</v>
      </c>
      <c r="DY19" s="249"/>
      <c r="DZ19" s="226" t="e">
        <f>SUM(DU19:DY19)</f>
        <v>#VALUE!</v>
      </c>
      <c r="EA19" s="214" t="s">
        <v>35</v>
      </c>
      <c r="EB19" s="216" t="e">
        <f>IF(AND(CF19=CF18,BA10=BA9),BH24,"kkk")</f>
        <v>#VALUE!</v>
      </c>
      <c r="EC19" s="248" t="s">
        <v>53</v>
      </c>
      <c r="ED19" s="216" t="e">
        <f>IF(AND(CF19=CF20,BA10=BA11),BL21,"kkk")</f>
        <v>#VALUE!</v>
      </c>
      <c r="EE19" s="216" t="e">
        <f>IF(AND(CF19=CF21,BA10=BA12),BL23,"kkk")</f>
        <v>#VALUE!</v>
      </c>
      <c r="EF19" s="249"/>
      <c r="EG19" s="226" t="e">
        <f>SUM(EB19:EF19)</f>
        <v>#VALUE!</v>
      </c>
      <c r="EH19" s="214" t="s">
        <v>35</v>
      </c>
      <c r="EI19" s="216" t="e">
        <f>IF(BD10&lt;&gt;"ùùù",IF(AND(CF19=CF18,BD10=BD9),BL24,"kkk"),"kkk")</f>
        <v>#VALUE!</v>
      </c>
      <c r="EJ19" s="248" t="s">
        <v>53</v>
      </c>
      <c r="EK19" s="216" t="e">
        <f>IF(BD10&lt;&gt;"ùùù",IF(AND(CF19=CF20,BD10=BD11),BH21,"kkk"),"kkk")</f>
        <v>#VALUE!</v>
      </c>
      <c r="EL19" s="216" t="e">
        <f>IF(BD10&lt;&gt;"ùùù",IF(AND(CF19=CF21,BD10=BD12),BH23,"kkk"),"kkk")</f>
        <v>#VALUE!</v>
      </c>
      <c r="EM19" s="249"/>
      <c r="EN19" s="226" t="e">
        <f>SUM(EI19:EM19)</f>
        <v>#VALUE!</v>
      </c>
      <c r="EO19" s="214" t="s">
        <v>35</v>
      </c>
      <c r="EP19" s="216" t="e">
        <f>IF(BD10&lt;&gt;"ùùù",IF(AND(CF19=CF18,BD10=BD9),BH24,"kkk"),"kkk")</f>
        <v>#VALUE!</v>
      </c>
      <c r="EQ19" s="248" t="s">
        <v>53</v>
      </c>
      <c r="ER19" s="216" t="e">
        <f>IF(BD10&lt;&gt;"ùùù",IF(AND(CF19=CF20,BD10=BD11),BL21,"kkk"),"kkk")</f>
        <v>#VALUE!</v>
      </c>
      <c r="ES19" s="216" t="e">
        <f>IF(BD10&lt;&gt;"ùùù",IF(AND(CF19=CF21,BD10=BD12),BL23,"kkk"),"kkk")</f>
        <v>#VALUE!</v>
      </c>
      <c r="ET19" s="249"/>
      <c r="EU19" s="226" t="e">
        <f>SUM(EP19:ET19)</f>
        <v>#VALUE!</v>
      </c>
      <c r="EV19" s="214" t="s">
        <v>35</v>
      </c>
      <c r="EW19" s="216" t="e">
        <f>IF(AND(CF19=CF18,BC10=BC9),+AG24+AI24+AK24+AM24+AO24,"xxx")</f>
        <v>#VALUE!</v>
      </c>
      <c r="EX19" s="248" t="s">
        <v>53</v>
      </c>
      <c r="EY19" s="216" t="e">
        <f>IF(AND(CF19=CF20,BC10=BC11),+AF21+AH21+AJ21+AL21+AN21,"xxx")</f>
        <v>#VALUE!</v>
      </c>
      <c r="EZ19" s="216" t="e">
        <f>IF(AND(CF19=CF21,BC10=BC12),+AF23+AH23+AJ23+AL23+AN23,"xxx")</f>
        <v>#VALUE!</v>
      </c>
      <c r="FA19" s="249"/>
      <c r="FB19" s="226" t="e">
        <f>SUM(EW19:FA19)</f>
        <v>#VALUE!</v>
      </c>
      <c r="FC19" s="214" t="s">
        <v>35</v>
      </c>
      <c r="FD19" s="216" t="e">
        <f>IF(AND(CF19=CF18,BC10=BC9),+AF24+AH24+AJ24+AL24+AN24,"xxx")</f>
        <v>#VALUE!</v>
      </c>
      <c r="FE19" s="248" t="s">
        <v>53</v>
      </c>
      <c r="FF19" s="216" t="e">
        <f>IF(AND(CF19=CF20,BC10=BC11),+AG21+AI21+AK21+AM21+AO21,"xxx")</f>
        <v>#VALUE!</v>
      </c>
      <c r="FG19" s="216" t="e">
        <f>IF(AND(CF19=CF21,BC10=BC12),+AG23+AI23+AK23+AM23+AO23,"xxx")</f>
        <v>#VALUE!</v>
      </c>
      <c r="FH19" s="249"/>
      <c r="FI19" s="226" t="e">
        <f>SUM(FD19:FH19)</f>
        <v>#VALUE!</v>
      </c>
      <c r="FJ19" s="224"/>
      <c r="FK19" s="224"/>
      <c r="FL19" s="224"/>
      <c r="FM19" s="224"/>
    </row>
    <row r="20" spans="1:169" ht="24.95" customHeight="1" x14ac:dyDescent="0.2">
      <c r="A20" s="541">
        <v>1</v>
      </c>
      <c r="B20" s="420" t="s">
        <v>13</v>
      </c>
      <c r="C20" s="421">
        <v>2</v>
      </c>
      <c r="D20" s="422" t="str">
        <f>D16</f>
        <v>Sa</v>
      </c>
      <c r="E20" s="423">
        <f>E19+0.014</f>
        <v>5.6000000000000001E-2</v>
      </c>
      <c r="F20" s="424">
        <f>F16</f>
        <v>0</v>
      </c>
      <c r="G20" s="673" t="str">
        <f t="shared" si="0"/>
        <v>LEBRETON Marine</v>
      </c>
      <c r="H20" s="667"/>
      <c r="I20" s="667"/>
      <c r="J20" s="667"/>
      <c r="K20" s="667"/>
      <c r="L20" s="425" t="s">
        <v>9</v>
      </c>
      <c r="M20" s="667" t="str">
        <f t="shared" si="1"/>
        <v>LE BOEUF Léanne</v>
      </c>
      <c r="N20" s="667"/>
      <c r="O20" s="667"/>
      <c r="P20" s="667"/>
      <c r="Q20" s="668"/>
      <c r="R20" s="211"/>
      <c r="S20" s="210"/>
      <c r="T20" s="210"/>
      <c r="U20" s="210"/>
      <c r="V20" s="550"/>
      <c r="W20" s="516"/>
      <c r="X20" s="524" t="str">
        <f>IF(AND(COUNTIF(($R20:$V20),"&gt;0")&gt;=2),1,IF(AND(COUNTIF(($R20:$V20),"&lt;0")&gt;=2),0,blanc))</f>
        <v xml:space="preserve"> </v>
      </c>
      <c r="Y20" s="518" t="str">
        <f>IF(AND(X20=0),1,IF(AND(X20=1),0,blanc))</f>
        <v xml:space="preserve"> </v>
      </c>
      <c r="Z20" s="426"/>
      <c r="AA20" s="523"/>
      <c r="AC20" s="258">
        <f>IF(AF9&lt;&gt;" ",AF9," ")</f>
        <v>1</v>
      </c>
      <c r="AD20" s="259">
        <f>IF(AF12&lt;&gt;" ",AF12," ")</f>
        <v>4</v>
      </c>
      <c r="AE20" s="260" t="str">
        <f t="shared" ref="AE20:AE25" si="4">IF(AK20&lt;&gt;0,IF(BI20&lt;0,AD20,AC20),IF(BI20=2,AC20,IF(BI20=-2,AD20," ")))</f>
        <v xml:space="preserve"> </v>
      </c>
      <c r="AF20" s="261">
        <f t="shared" ref="AF20:AF25" si="5">IF(R16=0,0,IF(R16&lt;0,-R16,IF(R16&lt;10,11,R16+2)))</f>
        <v>0</v>
      </c>
      <c r="AG20" s="262">
        <f t="shared" ref="AG20:AG25" si="6">IF(R16=0,0,IF(R16&gt;0,R16,IF(R16&gt;-10,11,-R16+2)))</f>
        <v>0</v>
      </c>
      <c r="AH20" s="259">
        <f t="shared" ref="AH20:AH25" si="7">IF(S16=0,0,IF(S16&lt;0,-S16,IF(S16&lt;10,11,S16+2)))</f>
        <v>0</v>
      </c>
      <c r="AI20" s="262">
        <f t="shared" ref="AI20:AI25" si="8">IF(S16=0,0,IF(S16&gt;0,S16,IF(S16&gt;-10,11,-S16+2)))</f>
        <v>0</v>
      </c>
      <c r="AJ20" s="263">
        <f t="shared" ref="AJ20:AJ25" si="9">IF(T16=0,0,IF(T16&lt;0,-T16,IF(T16&lt;10,11,T16+2)))</f>
        <v>0</v>
      </c>
      <c r="AK20" s="262">
        <f t="shared" ref="AK20:AK25" si="10">IF(T16=0,0,IF(T16&gt;0,T16,IF(T16&gt;-10,11,-T16+2)))</f>
        <v>0</v>
      </c>
      <c r="AL20" s="263">
        <f t="shared" ref="AL20:AL25" si="11">IF(U16=0,0,IF(U16&lt;0,-U16,IF(U16&lt;10,11,U16+2)))</f>
        <v>0</v>
      </c>
      <c r="AM20" s="262">
        <f t="shared" ref="AM20:AM25" si="12">IF(U16=0,0,IF(U16&gt;0,U16,IF(U16&gt;-10,11,-U16+2)))</f>
        <v>0</v>
      </c>
      <c r="AN20" s="263">
        <f t="shared" ref="AN20:AN25" si="13">IF(V16=0,0,IF(V16&lt;0,-V16,IF(V16&lt;10,11,V16+2)))</f>
        <v>0</v>
      </c>
      <c r="AO20" s="264">
        <f t="shared" ref="AO20:AO25" si="14">IF(V16=0,0,IF(V16&gt;0,V16,IF(V16&gt;-10,11,-V16+2)))</f>
        <v>0</v>
      </c>
      <c r="AP20" s="265">
        <f>IF(BI20&gt;0,1,0)</f>
        <v>0</v>
      </c>
      <c r="AR20" s="266"/>
      <c r="AS20" s="265">
        <f>IF(BI20&lt;0,1,0)</f>
        <v>0</v>
      </c>
      <c r="AT20" s="267"/>
      <c r="AU20" s="229"/>
      <c r="AV20" s="213"/>
      <c r="AW20" s="213"/>
      <c r="AX20" s="213"/>
      <c r="AY20" s="268">
        <f>IF(BI20&gt;0,1,0)</f>
        <v>0</v>
      </c>
      <c r="BA20" s="269"/>
      <c r="BB20" s="270">
        <f>IF(BI20&lt;0,1,0)</f>
        <v>0</v>
      </c>
      <c r="BC20" s="271">
        <f t="shared" ref="BC20:BC25" si="15">IF(AF20&lt;&gt;0,IF(AF20&gt;AG20,1,-1),0)</f>
        <v>0</v>
      </c>
      <c r="BD20" s="271">
        <f t="shared" ref="BD20:BD25" si="16">IF(AH20&lt;&gt;0,IF(AH20&gt;AI20,1,-1),0)</f>
        <v>0</v>
      </c>
      <c r="BE20" s="271">
        <f t="shared" ref="BE20:BE25" si="17">IF(AJ20&lt;&gt;0,IF(AJ20&gt;AK20,1,-1),0)</f>
        <v>0</v>
      </c>
      <c r="BF20" s="271">
        <f t="shared" ref="BF20:BF25" si="18">IF(AL20&lt;&gt;0,IF(AL20&gt;AM20,1,-1),0)</f>
        <v>0</v>
      </c>
      <c r="BG20" s="271">
        <f t="shared" ref="BG20:BG25" si="19">IF(AN20&lt;&gt;0,IF(AN20&gt;AO20,1,-1),0)</f>
        <v>0</v>
      </c>
      <c r="BH20" s="271" t="str">
        <f t="shared" ref="BH20:BH25" si="20">IF(BM20=0,"M",IF(BI20&gt;0,3,IF(BI20=0,"N",3+BI20)))</f>
        <v>M</v>
      </c>
      <c r="BI20" s="271">
        <f t="shared" ref="BI20:BI25" si="21">SUM(BC20:BG20)</f>
        <v>0</v>
      </c>
      <c r="BJ20" s="271"/>
      <c r="BK20" s="271"/>
      <c r="BL20" s="271" t="e">
        <f t="shared" ref="BL20:BL25" si="22">BM20-BH20</f>
        <v>#VALUE!</v>
      </c>
      <c r="BM20" s="271">
        <f t="shared" ref="BM20:BM25" si="23">ABS(BC20)+ABS(BD20)+ABS(BE20)+ABS(BF20)+ABS(BG20)</f>
        <v>0</v>
      </c>
      <c r="BN20" s="271"/>
      <c r="BO20" s="272"/>
      <c r="BQ20" s="200"/>
      <c r="BR20" s="225"/>
      <c r="BS20" s="214" t="str">
        <f>AE11</f>
        <v>C</v>
      </c>
      <c r="BT20" s="214" t="e">
        <f>BY18</f>
        <v>#VALUE!</v>
      </c>
      <c r="BU20" s="214" t="str">
        <f>BX18</f>
        <v>M</v>
      </c>
      <c r="BV20" s="214" t="e">
        <f>BY19</f>
        <v>#VALUE!</v>
      </c>
      <c r="BW20" s="214" t="str">
        <f>BX19</f>
        <v>M</v>
      </c>
      <c r="BX20" s="244"/>
      <c r="BY20" s="244"/>
      <c r="BZ20" s="214" t="str">
        <f>BH25</f>
        <v>M</v>
      </c>
      <c r="CA20" s="245" t="e">
        <f>BL25</f>
        <v>#VALUE!</v>
      </c>
      <c r="CB20" s="225"/>
      <c r="CC20" s="225"/>
      <c r="CD20" s="246"/>
      <c r="CE20" s="246"/>
      <c r="CF20" s="226" t="e">
        <f t="shared" si="2"/>
        <v>#VALUE!</v>
      </c>
      <c r="CG20" s="219" t="e">
        <f t="shared" si="3"/>
        <v>#VALUE!</v>
      </c>
      <c r="CH20" s="214" t="e">
        <f>IF(BT20&gt;BU20,1,0)</f>
        <v>#VALUE!</v>
      </c>
      <c r="CI20" s="214" t="e">
        <f>IF(BV20&gt;BW20,1,0)</f>
        <v>#VALUE!</v>
      </c>
      <c r="CJ20" s="214" t="e">
        <f>IF(BZ20&gt;CA20,1,0)</f>
        <v>#VALUE!</v>
      </c>
      <c r="CK20" s="214">
        <f>IF(CB20&gt;CC20,1,0)</f>
        <v>0</v>
      </c>
      <c r="CL20" s="214">
        <f>IF(CD20&gt;CE20,1,0)</f>
        <v>0</v>
      </c>
      <c r="CM20" s="247" t="e">
        <f>IF(BT20&lt;BU20,1,0)</f>
        <v>#VALUE!</v>
      </c>
      <c r="CN20" s="214" t="e">
        <f>IF(BV20&lt;BW20,1,0)</f>
        <v>#VALUE!</v>
      </c>
      <c r="CO20" s="214" t="e">
        <f>IF(BZ20&lt;CA20,1,0)</f>
        <v>#VALUE!</v>
      </c>
      <c r="CP20" s="214">
        <f>IF(CB20&lt;CC20,1,0)</f>
        <v>0</v>
      </c>
      <c r="CQ20" s="214">
        <f>IF(CD20&lt;CE20,1,0)</f>
        <v>0</v>
      </c>
      <c r="CR20" s="214" t="s">
        <v>36</v>
      </c>
      <c r="CS20" s="216" t="e">
        <f>IF(CF20=CF18,BA22,"xxx")</f>
        <v>#VALUE!</v>
      </c>
      <c r="CT20" s="216" t="e">
        <f>IF(CF20=CF19,BA21,"xxx")</f>
        <v>#VALUE!</v>
      </c>
      <c r="CU20" s="248" t="s">
        <v>53</v>
      </c>
      <c r="CV20" s="216" t="e">
        <f>IF(CF20=CF21,BA25,"xxx")</f>
        <v>#VALUE!</v>
      </c>
      <c r="CW20" s="249"/>
      <c r="CX20" s="226" t="e">
        <f>SUM(CS20:CW20)</f>
        <v>#VALUE!</v>
      </c>
      <c r="CY20" s="214" t="s">
        <v>36</v>
      </c>
      <c r="CZ20" s="216" t="e">
        <f>IF(CF20=CF18,AY22,"xxx")</f>
        <v>#VALUE!</v>
      </c>
      <c r="DA20" s="216" t="e">
        <f>IF(CF20=CF19,AZ21,"xxx")</f>
        <v>#VALUE!</v>
      </c>
      <c r="DB20" s="248" t="s">
        <v>53</v>
      </c>
      <c r="DC20" s="216" t="e">
        <f>IF(CF20=CF21,BB25,"xxx")</f>
        <v>#VALUE!</v>
      </c>
      <c r="DD20" s="249"/>
      <c r="DE20" s="226" t="e">
        <f>SUM(CZ20:DD20)</f>
        <v>#VALUE!</v>
      </c>
      <c r="DF20" s="214" t="s">
        <v>36</v>
      </c>
      <c r="DG20" s="216" t="e">
        <f>IF(AND(BA11&lt;&gt;0,AY11=AY9),IF(BA11=BA9,BA22,"xxx"),"xxx")</f>
        <v>#VALUE!</v>
      </c>
      <c r="DH20" s="216" t="e">
        <f>IF(AND(BA11&lt;&gt;0,AY11=AY10),IF(BA11=BA10,BA21,"xxx"),"xxx")</f>
        <v>#VALUE!</v>
      </c>
      <c r="DI20" s="248" t="s">
        <v>53</v>
      </c>
      <c r="DJ20" s="216" t="e">
        <f>IF(AND(BA11&lt;&gt;0,AY11=AY12),IF(BA11=BA12,BA25,"xxx"),"xxx")</f>
        <v>#VALUE!</v>
      </c>
      <c r="DK20" s="249"/>
      <c r="DL20" s="226" t="e">
        <f>SUM(DG20:DK20)</f>
        <v>#VALUE!</v>
      </c>
      <c r="DM20" s="214" t="s">
        <v>36</v>
      </c>
      <c r="DN20" s="216" t="e">
        <f>IF(AND(BA11&lt;&gt;0,AY11=AY9),IF(BA11=BA9,AY22,"xxx"),"xxx")</f>
        <v>#VALUE!</v>
      </c>
      <c r="DO20" s="216" t="e">
        <f>IF(AND(BA11&lt;&gt;0,AY11=AY10),IF(BA11=BA10,AZ21,"xxx"),"xxx")</f>
        <v>#VALUE!</v>
      </c>
      <c r="DP20" s="248" t="s">
        <v>53</v>
      </c>
      <c r="DQ20" s="216" t="e">
        <f>IF(AND(BA11&lt;&gt;0,AY11=AY12),IF(BA11=BA12,BB25,"xxx"),"xxx")</f>
        <v>#VALUE!</v>
      </c>
      <c r="DR20" s="249"/>
      <c r="DS20" s="226" t="e">
        <f>SUM(DN20:DR20)</f>
        <v>#VALUE!</v>
      </c>
      <c r="DT20" s="214" t="s">
        <v>36</v>
      </c>
      <c r="DU20" s="216" t="e">
        <f>IF(AND(CF20=CF18,BA11=BA9),BL22,"kkk")</f>
        <v>#VALUE!</v>
      </c>
      <c r="DV20" s="216" t="e">
        <f>IF(AND(CF20=CF19,BA11=BA10),BL21,"kkk")</f>
        <v>#VALUE!</v>
      </c>
      <c r="DW20" s="248" t="s">
        <v>53</v>
      </c>
      <c r="DX20" s="216" t="e">
        <f>IF(AND(CF20=CF21,BA11=BA12),BH25,"kkk")</f>
        <v>#VALUE!</v>
      </c>
      <c r="DY20" s="249"/>
      <c r="DZ20" s="226" t="e">
        <f>SUM(DU20:DY20)</f>
        <v>#VALUE!</v>
      </c>
      <c r="EA20" s="214" t="s">
        <v>36</v>
      </c>
      <c r="EB20" s="216" t="e">
        <f>IF(AND(CF20=CF18,BA11=BA9),BH22,"kkk")</f>
        <v>#VALUE!</v>
      </c>
      <c r="EC20" s="216" t="e">
        <f>IF(AND(CF20=CF19,BA11=BA10),BH21,"kkk")</f>
        <v>#VALUE!</v>
      </c>
      <c r="ED20" s="248" t="s">
        <v>53</v>
      </c>
      <c r="EE20" s="216" t="e">
        <f>IF(AND(CF20=CF21,BA11=BA12),BL25,"kkk")</f>
        <v>#VALUE!</v>
      </c>
      <c r="EF20" s="249"/>
      <c r="EG20" s="226" t="e">
        <f>SUM(EB20:EF20)</f>
        <v>#VALUE!</v>
      </c>
      <c r="EH20" s="214" t="s">
        <v>36</v>
      </c>
      <c r="EI20" s="216" t="e">
        <f>IF(BD11&lt;&gt;"ùùù",IF(AND(CF20=CF18,BD11=BD9),BL22,"kkk"),"kkk")</f>
        <v>#VALUE!</v>
      </c>
      <c r="EJ20" s="216" t="e">
        <f>IF(BD11&lt;&gt;"ùùù",IF(AND(CF20=CF19,BD11=BD10),BL21,"kkk"),"kkk")</f>
        <v>#VALUE!</v>
      </c>
      <c r="EK20" s="248" t="s">
        <v>53</v>
      </c>
      <c r="EL20" s="216" t="e">
        <f>IF(BD11&lt;&gt;"ùùù",IF(AND(CF20=CF21,BD11=BD12),BH25,"kkk"),"kkk")</f>
        <v>#VALUE!</v>
      </c>
      <c r="EM20" s="249"/>
      <c r="EN20" s="226" t="e">
        <f>SUM(EI20:EM20)</f>
        <v>#VALUE!</v>
      </c>
      <c r="EO20" s="214" t="s">
        <v>36</v>
      </c>
      <c r="EP20" s="216" t="e">
        <f>IF(BD11&lt;&gt;"ùùù",IF(AND(CF20=CF18,BD11=BD9),BH22,"kkk"),"kkk")</f>
        <v>#VALUE!</v>
      </c>
      <c r="EQ20" s="216" t="e">
        <f>IF(BD11&lt;&gt;"ùùù",IF(AND(CF20=CF19,BD11=BD10),BH21,"kkk"),"kkk")</f>
        <v>#VALUE!</v>
      </c>
      <c r="ER20" s="248" t="s">
        <v>53</v>
      </c>
      <c r="ES20" s="216" t="e">
        <f>IF(BD11&lt;&gt;"ùùù",IF(AND(CF20=CF21,BD11=BD12),BL25,"kkk"),"kkk")</f>
        <v>#VALUE!</v>
      </c>
      <c r="ET20" s="249"/>
      <c r="EU20" s="226" t="e">
        <f>SUM(EP20:ET20)</f>
        <v>#VALUE!</v>
      </c>
      <c r="EV20" s="214" t="s">
        <v>36</v>
      </c>
      <c r="EW20" s="216" t="e">
        <f>IF(AND(CF20=CF18,BC11=BC9),+AG22+AI22+AK22+AM22+AO22,"xxx")</f>
        <v>#VALUE!</v>
      </c>
      <c r="EX20" s="216" t="e">
        <f>IF(AND(CF20=CF19,BC11=BC10),+AG21+AI21+AK21+AM21+AO21,"xxx")</f>
        <v>#VALUE!</v>
      </c>
      <c r="EY20" s="248" t="s">
        <v>53</v>
      </c>
      <c r="EZ20" s="216" t="e">
        <f>IF(AND(CF20=CF21,BC11=BC12),+AF25+AH25+AJ25+AL25+AN25,"xxx")</f>
        <v>#VALUE!</v>
      </c>
      <c r="FA20" s="249"/>
      <c r="FB20" s="226" t="e">
        <f>SUM(EW20:FA20)</f>
        <v>#VALUE!</v>
      </c>
      <c r="FC20" s="214" t="s">
        <v>36</v>
      </c>
      <c r="FD20" s="216" t="e">
        <f>IF(AND(CF20=CF18,BC11=BC9),+AF22+AH22+AJ22+AL22+AN22,"xxx")</f>
        <v>#VALUE!</v>
      </c>
      <c r="FE20" s="216" t="e">
        <f>IF(AND(CF20=CF19,BC11=BC10),+AF21+AH21+AJ21+AL21+AN21,"xxx")</f>
        <v>#VALUE!</v>
      </c>
      <c r="FF20" s="248" t="s">
        <v>53</v>
      </c>
      <c r="FG20" s="216" t="e">
        <f>IF(AND(CF20=CF21,BC11=BC12),+AG25+AI25+AK25+AM25+AO25,"xxx")</f>
        <v>#VALUE!</v>
      </c>
      <c r="FH20" s="249"/>
      <c r="FI20" s="226" t="e">
        <f>SUM(FD20:FH20)</f>
        <v>#VALUE!</v>
      </c>
      <c r="FJ20" s="213"/>
      <c r="FK20" s="213"/>
      <c r="FL20" s="213"/>
      <c r="FM20" s="213"/>
    </row>
    <row r="21" spans="1:169" ht="24.95" customHeight="1" thickBot="1" x14ac:dyDescent="0.25">
      <c r="A21" s="411">
        <v>3</v>
      </c>
      <c r="B21" s="399" t="s">
        <v>13</v>
      </c>
      <c r="C21" s="542">
        <v>4</v>
      </c>
      <c r="D21" s="543"/>
      <c r="E21" s="544">
        <f>E20+0.014</f>
        <v>7.0000000000000007E-2</v>
      </c>
      <c r="F21" s="545">
        <f>F16</f>
        <v>0</v>
      </c>
      <c r="G21" s="674" t="str">
        <f t="shared" si="0"/>
        <v>MENAGER Chloe</v>
      </c>
      <c r="H21" s="669"/>
      <c r="I21" s="669"/>
      <c r="J21" s="669"/>
      <c r="K21" s="669"/>
      <c r="L21" s="403" t="s">
        <v>9</v>
      </c>
      <c r="M21" s="669">
        <f t="shared" si="1"/>
        <v>0</v>
      </c>
      <c r="N21" s="669"/>
      <c r="O21" s="669"/>
      <c r="P21" s="669"/>
      <c r="Q21" s="670"/>
      <c r="R21" s="551"/>
      <c r="S21" s="552"/>
      <c r="T21" s="552"/>
      <c r="U21" s="552"/>
      <c r="V21" s="553"/>
      <c r="W21" s="516"/>
      <c r="X21" s="526"/>
      <c r="Y21" s="527"/>
      <c r="Z21" s="528" t="str">
        <f>IF(AND(COUNTIF(($R21:$V21),"&gt;0")&gt;=2),1,IF(AND(COUNTIF(($R21:$V21),"&lt;0")&gt;=2),0,blanc))</f>
        <v xml:space="preserve"> </v>
      </c>
      <c r="AA21" s="529" t="str">
        <f>IF(AND(Z21=0),1,IF(AND(Z21=1),0,blanc))</f>
        <v xml:space="preserve"> </v>
      </c>
      <c r="AC21" s="273">
        <f>IF(AF10&lt;&gt;" ",AF10," ")</f>
        <v>2</v>
      </c>
      <c r="AD21" s="274">
        <f>IF(AF11&lt;&gt;" ",AF11," ")</f>
        <v>3</v>
      </c>
      <c r="AE21" s="275" t="str">
        <f t="shared" si="4"/>
        <v xml:space="preserve"> </v>
      </c>
      <c r="AF21" s="261">
        <f t="shared" si="5"/>
        <v>0</v>
      </c>
      <c r="AG21" s="262">
        <f t="shared" si="6"/>
        <v>0</v>
      </c>
      <c r="AH21" s="259">
        <f t="shared" si="7"/>
        <v>0</v>
      </c>
      <c r="AI21" s="262">
        <f t="shared" si="8"/>
        <v>0</v>
      </c>
      <c r="AJ21" s="263">
        <f t="shared" si="9"/>
        <v>0</v>
      </c>
      <c r="AK21" s="262">
        <f t="shared" si="10"/>
        <v>0</v>
      </c>
      <c r="AL21" s="263">
        <f t="shared" si="11"/>
        <v>0</v>
      </c>
      <c r="AM21" s="262">
        <f t="shared" si="12"/>
        <v>0</v>
      </c>
      <c r="AN21" s="263">
        <f t="shared" si="13"/>
        <v>0</v>
      </c>
      <c r="AO21" s="264">
        <f t="shared" si="14"/>
        <v>0</v>
      </c>
      <c r="AP21" s="276"/>
      <c r="AQ21" s="277">
        <f>IF(BI21&gt;0,1,0)</f>
        <v>0</v>
      </c>
      <c r="AR21" s="277">
        <f>IF(BI21&lt;0,1,0)</f>
        <v>0</v>
      </c>
      <c r="AT21" s="278"/>
      <c r="AU21" s="229"/>
      <c r="AV21" s="213"/>
      <c r="AW21" s="213"/>
      <c r="AX21" s="213"/>
      <c r="AY21" s="279"/>
      <c r="AZ21" s="280">
        <f>IF(BI21&gt;0,1,0)</f>
        <v>0</v>
      </c>
      <c r="BA21" s="280">
        <f>IF(BI21&lt;0,1,0)</f>
        <v>0</v>
      </c>
      <c r="BB21" s="281"/>
      <c r="BC21" s="216">
        <f t="shared" si="15"/>
        <v>0</v>
      </c>
      <c r="BD21" s="216">
        <f t="shared" si="16"/>
        <v>0</v>
      </c>
      <c r="BE21" s="216">
        <f t="shared" si="17"/>
        <v>0</v>
      </c>
      <c r="BF21" s="216">
        <f t="shared" si="18"/>
        <v>0</v>
      </c>
      <c r="BG21" s="216">
        <f t="shared" si="19"/>
        <v>0</v>
      </c>
      <c r="BH21" s="216" t="str">
        <f t="shared" si="20"/>
        <v>M</v>
      </c>
      <c r="BI21" s="216">
        <f t="shared" si="21"/>
        <v>0</v>
      </c>
      <c r="BJ21" s="216"/>
      <c r="BK21" s="216"/>
      <c r="BL21" s="216" t="e">
        <f t="shared" si="22"/>
        <v>#VALUE!</v>
      </c>
      <c r="BM21" s="216">
        <f t="shared" si="23"/>
        <v>0</v>
      </c>
      <c r="BN21" s="216"/>
      <c r="BO21" s="257"/>
      <c r="BQ21" s="200"/>
      <c r="BR21" s="225"/>
      <c r="BS21" s="214" t="str">
        <f>AE12</f>
        <v>D</v>
      </c>
      <c r="BT21" s="214" t="e">
        <f>CA18</f>
        <v>#VALUE!</v>
      </c>
      <c r="BU21" s="214" t="str">
        <f>BZ18</f>
        <v>M</v>
      </c>
      <c r="BV21" s="214" t="e">
        <f>CA19</f>
        <v>#VALUE!</v>
      </c>
      <c r="BW21" s="214" t="str">
        <f>BZ19</f>
        <v>M</v>
      </c>
      <c r="BX21" s="214" t="e">
        <f>CA20</f>
        <v>#VALUE!</v>
      </c>
      <c r="BY21" s="214" t="str">
        <f>BZ20</f>
        <v>M</v>
      </c>
      <c r="BZ21" s="244"/>
      <c r="CA21" s="282"/>
      <c r="CB21" s="225"/>
      <c r="CC21" s="225"/>
      <c r="CD21" s="246"/>
      <c r="CE21" s="246"/>
      <c r="CF21" s="226" t="e">
        <f t="shared" si="2"/>
        <v>#VALUE!</v>
      </c>
      <c r="CG21" s="219" t="e">
        <f t="shared" si="3"/>
        <v>#VALUE!</v>
      </c>
      <c r="CH21" s="283" t="e">
        <f>IF(BT21&gt;BU21,1,0)</f>
        <v>#VALUE!</v>
      </c>
      <c r="CI21" s="283" t="e">
        <f>IF(BV21&gt;BW21,1,0)</f>
        <v>#VALUE!</v>
      </c>
      <c r="CJ21" s="283" t="e">
        <f>IF(BX21&gt;BY21,1,0)</f>
        <v>#VALUE!</v>
      </c>
      <c r="CK21" s="283">
        <f>IF(CB21&gt;CC21,1,0)</f>
        <v>0</v>
      </c>
      <c r="CL21" s="283">
        <f>IF(CD21&gt;CE21,1,0)</f>
        <v>0</v>
      </c>
      <c r="CM21" s="284" t="e">
        <f>IF(BT21&lt;BU21,1,0)</f>
        <v>#VALUE!</v>
      </c>
      <c r="CN21" s="283" t="e">
        <f>IF(BV21&lt;BW21,1,0)</f>
        <v>#VALUE!</v>
      </c>
      <c r="CO21" s="283" t="e">
        <f>IF(BX21&lt;BY21,1,0)</f>
        <v>#VALUE!</v>
      </c>
      <c r="CP21" s="283">
        <f>IF(CB21&lt;CC21,1,0)</f>
        <v>0</v>
      </c>
      <c r="CQ21" s="283">
        <f>IF(CD21&lt;CE21,1,0)</f>
        <v>0</v>
      </c>
      <c r="CR21" s="283" t="s">
        <v>61</v>
      </c>
      <c r="CS21" s="252" t="e">
        <f>IF(CF21=CF18,BB20,"xxx")</f>
        <v>#VALUE!</v>
      </c>
      <c r="CT21" s="252" t="e">
        <f>IF(CF21=CF19,BB23,"xxx")</f>
        <v>#VALUE!</v>
      </c>
      <c r="CU21" s="252" t="e">
        <f>IF(CF21=CF20,BB25,"xxx")</f>
        <v>#VALUE!</v>
      </c>
      <c r="CV21" s="285" t="s">
        <v>53</v>
      </c>
      <c r="CW21" s="286"/>
      <c r="CX21" s="226" t="e">
        <f>SUM(CS21:CW21)</f>
        <v>#VALUE!</v>
      </c>
      <c r="CY21" s="283" t="s">
        <v>61</v>
      </c>
      <c r="CZ21" s="252" t="e">
        <f>IF(CF21=CF18,AY20,"xxx")</f>
        <v>#VALUE!</v>
      </c>
      <c r="DA21" s="252" t="e">
        <f>IF(CF21=CF19,AZ23,"xxx")</f>
        <v>#VALUE!</v>
      </c>
      <c r="DB21" s="252" t="e">
        <f>IF(CF21=CF20,BA25,"xxx")</f>
        <v>#VALUE!</v>
      </c>
      <c r="DC21" s="285" t="s">
        <v>53</v>
      </c>
      <c r="DD21" s="286"/>
      <c r="DE21" s="287" t="e">
        <f>SUM(CZ21:DD21)</f>
        <v>#VALUE!</v>
      </c>
      <c r="DF21" s="283" t="s">
        <v>61</v>
      </c>
      <c r="DG21" s="252" t="e">
        <f>IF(AND(BA12&lt;&gt;0,AY12=AY9),IF(BA12=BA9,BB20,"xxx"),"xxx")</f>
        <v>#VALUE!</v>
      </c>
      <c r="DH21" s="252" t="e">
        <f>IF(AND(BA12&lt;&gt;0,AY12=AY10),IF(BA12=BA10,BB23,"xxx"),"xxx")</f>
        <v>#VALUE!</v>
      </c>
      <c r="DI21" s="252" t="e">
        <f>IF(AND(BA12&lt;&gt;0,AY12=AY11),IF(BA12=BA11,BB25,"xxx"),"xxx")</f>
        <v>#VALUE!</v>
      </c>
      <c r="DJ21" s="285" t="s">
        <v>53</v>
      </c>
      <c r="DK21" s="286"/>
      <c r="DL21" s="226" t="e">
        <f>SUM(DG21:DK21)</f>
        <v>#VALUE!</v>
      </c>
      <c r="DM21" s="283" t="s">
        <v>61</v>
      </c>
      <c r="DN21" s="252" t="e">
        <f>IF(AND(BA12&lt;&gt;0,AY12=AY9),IF(BA12=BA9,AY20,"xxx"),"xxx")</f>
        <v>#VALUE!</v>
      </c>
      <c r="DO21" s="252" t="e">
        <f>IF(AND(BA12&lt;&gt;0,AY12=AY10),IF(BA12=BA10,AZ23,"xxx"),"xxx")</f>
        <v>#VALUE!</v>
      </c>
      <c r="DP21" s="252" t="e">
        <f>IF(AND(BA12&lt;&gt;0,AY12=AY11),IF(BA12=BA11,BA25,"xxx"),"xxx")</f>
        <v>#VALUE!</v>
      </c>
      <c r="DQ21" s="285" t="s">
        <v>53</v>
      </c>
      <c r="DR21" s="286"/>
      <c r="DS21" s="226" t="e">
        <f>SUM(DN21:DR21)</f>
        <v>#VALUE!</v>
      </c>
      <c r="DT21" s="283" t="s">
        <v>61</v>
      </c>
      <c r="DU21" s="252" t="e">
        <f>IF(AND(CF21=CF18,BA12=BA9),BL20,"kkk")</f>
        <v>#VALUE!</v>
      </c>
      <c r="DV21" s="252" t="e">
        <f>IF(AND(CF21=CF19,BA12=BA10),BL23,"kkk")</f>
        <v>#VALUE!</v>
      </c>
      <c r="DW21" s="252" t="e">
        <f>IF(AND(CF21=CF20,BA12=BA11),BL25,"kkk")</f>
        <v>#VALUE!</v>
      </c>
      <c r="DX21" s="285" t="s">
        <v>53</v>
      </c>
      <c r="DY21" s="286"/>
      <c r="DZ21" s="226" t="e">
        <f>SUM(DU21:DY21)</f>
        <v>#VALUE!</v>
      </c>
      <c r="EA21" s="283" t="s">
        <v>61</v>
      </c>
      <c r="EB21" s="252" t="e">
        <f>IF(AND(CF21=CF18,BA12=BA9),BH20,"kkk")</f>
        <v>#VALUE!</v>
      </c>
      <c r="EC21" s="252" t="e">
        <f>IF(AND(CF21=CF19,BA12=BA10),BH23,"kkk")</f>
        <v>#VALUE!</v>
      </c>
      <c r="ED21" s="252" t="e">
        <f>IF(AND(CF21=CF20,BA12=BA11),BH25,"kkk")</f>
        <v>#VALUE!</v>
      </c>
      <c r="EE21" s="285" t="s">
        <v>53</v>
      </c>
      <c r="EF21" s="286"/>
      <c r="EG21" s="226" t="e">
        <f>SUM(EB21:EF21)</f>
        <v>#VALUE!</v>
      </c>
      <c r="EH21" s="283" t="s">
        <v>61</v>
      </c>
      <c r="EI21" s="252" t="e">
        <f>IF(BD12&lt;&gt;"ùùù",IF(AND(CF21=CF18,BD12=BD9),BL20,"kkk"),"kkk")</f>
        <v>#VALUE!</v>
      </c>
      <c r="EJ21" s="252" t="e">
        <f>IF(BD12&lt;&gt;"ùùù",IF(AND(CF21=CF19,BD12=BD10),BL23,"kkk"),"kkk")</f>
        <v>#VALUE!</v>
      </c>
      <c r="EK21" s="252" t="e">
        <f>IF(BD12&lt;&gt;"ùùù",IF(AND(CF21=CF20,BD12=BD11),BL25,"kkk"),"kkk")</f>
        <v>#VALUE!</v>
      </c>
      <c r="EL21" s="285" t="s">
        <v>53</v>
      </c>
      <c r="EM21" s="286"/>
      <c r="EN21" s="226" t="e">
        <f>SUM(EI21:EM21)</f>
        <v>#VALUE!</v>
      </c>
      <c r="EO21" s="283" t="s">
        <v>61</v>
      </c>
      <c r="EP21" s="252" t="e">
        <f>IF(BD12&lt;&gt;"ùùù",IF(AND(CF21=CF18,BD12=BD9),BH20,"kkk"),"kkk")</f>
        <v>#VALUE!</v>
      </c>
      <c r="EQ21" s="252" t="e">
        <f>IF(BD12&lt;&gt;"ùùù",IF(AND(CF21=CF19,BD12=BD10),BH23,"kkk"),"kkk")</f>
        <v>#VALUE!</v>
      </c>
      <c r="ER21" s="252" t="e">
        <f>IF(BD12&lt;&gt;"ùùù",IF(AND(CF21=CF20,BD12=BD11),BH25,"kkk"),"kkk")</f>
        <v>#VALUE!</v>
      </c>
      <c r="ES21" s="285" t="s">
        <v>53</v>
      </c>
      <c r="ET21" s="286"/>
      <c r="EU21" s="226" t="e">
        <f>SUM(EP21:ET21)</f>
        <v>#VALUE!</v>
      </c>
      <c r="EV21" s="283" t="s">
        <v>61</v>
      </c>
      <c r="EW21" s="252" t="e">
        <f>IF(AND(CF21=CF18,BC12=BC9),+AG20+AI20+AK20+AM20+AO20,"xxx")</f>
        <v>#VALUE!</v>
      </c>
      <c r="EX21" s="252" t="e">
        <f>IF(AND(CF21=CF19,BC12=BC10),+AG23+AI23+AK23+AM23+AO23,"xxx")</f>
        <v>#VALUE!</v>
      </c>
      <c r="EY21" s="252" t="e">
        <f>IF(AND(CF21=CF20,BC11=BC12),+AG25+AI25+AK25+AM25+AO25,"xxx")</f>
        <v>#VALUE!</v>
      </c>
      <c r="EZ21" s="285" t="s">
        <v>53</v>
      </c>
      <c r="FA21" s="286"/>
      <c r="FB21" s="226" t="e">
        <f>SUM(EW21:FA21)</f>
        <v>#VALUE!</v>
      </c>
      <c r="FC21" s="283" t="s">
        <v>61</v>
      </c>
      <c r="FD21" s="252" t="e">
        <f>IF(AND(CF21=CF18,BC12=BC9),+AF20+AH20+AJ20+AL20+AN20,"xxx")</f>
        <v>#VALUE!</v>
      </c>
      <c r="FE21" s="252" t="e">
        <f>IF(AND(CF21=CF19,BC12=BC10),+AF23+AH23+AJ23+AL23+AN23,"xxx")</f>
        <v>#VALUE!</v>
      </c>
      <c r="FF21" s="252" t="e">
        <f>IF(AND(CF21=CF20,BC12=BC11),+AF25+AH25+AJ25+AL25+AN25,"xxx")</f>
        <v>#VALUE!</v>
      </c>
      <c r="FG21" s="285" t="s">
        <v>53</v>
      </c>
      <c r="FH21" s="286"/>
      <c r="FI21" s="226" t="e">
        <f>SUM(FD21:FH21)</f>
        <v>#VALUE!</v>
      </c>
      <c r="FJ21" s="213"/>
      <c r="FK21" s="213"/>
      <c r="FL21" s="213"/>
      <c r="FM21" s="213"/>
    </row>
    <row r="22" spans="1:169" ht="21.95" customHeight="1" x14ac:dyDescent="0.2">
      <c r="A22" s="394"/>
      <c r="B22" s="394"/>
      <c r="C22" s="427"/>
      <c r="D22" s="427"/>
      <c r="E22" s="427"/>
      <c r="F22" s="427"/>
      <c r="G22" s="394"/>
      <c r="H22" s="390"/>
      <c r="I22" s="390"/>
      <c r="J22" s="390"/>
      <c r="K22" s="390"/>
      <c r="L22" s="428">
        <v>6</v>
      </c>
      <c r="M22" s="430"/>
      <c r="N22" s="428" t="s">
        <v>3</v>
      </c>
      <c r="O22" s="728" t="s">
        <v>17</v>
      </c>
      <c r="P22" s="729"/>
      <c r="Q22" s="729"/>
      <c r="R22" s="729"/>
      <c r="S22" s="729"/>
      <c r="T22" s="729"/>
      <c r="U22" s="729"/>
      <c r="V22" s="730"/>
      <c r="W22" s="517"/>
      <c r="X22" s="555" t="str">
        <f>IF(X16=blanc,blanc,SUM(X16:X21))</f>
        <v xml:space="preserve"> </v>
      </c>
      <c r="Y22" s="519" t="str">
        <f>IF(X16=blanc,blanc,SUM(Y16:Y21))</f>
        <v xml:space="preserve"> </v>
      </c>
      <c r="Z22" s="519" t="str">
        <f>IF(X16=blanc,blanc,SUM(Z16:Z21))</f>
        <v xml:space="preserve"> </v>
      </c>
      <c r="AA22" s="556" t="str">
        <f>IF(X16=blanc,blanc,SUM(AA16:AA21))</f>
        <v xml:space="preserve"> </v>
      </c>
      <c r="AB22" s="398">
        <f>SUM(X22:AA22)</f>
        <v>0</v>
      </c>
      <c r="AC22" s="273">
        <f>IF(AF9&lt;&gt;" ",AF9," ")</f>
        <v>1</v>
      </c>
      <c r="AD22" s="274">
        <f>IF(AF11&lt;&gt;" ",AF11," ")</f>
        <v>3</v>
      </c>
      <c r="AE22" s="275" t="str">
        <f t="shared" si="4"/>
        <v xml:space="preserve"> </v>
      </c>
      <c r="AF22" s="261">
        <f t="shared" si="5"/>
        <v>0</v>
      </c>
      <c r="AG22" s="262">
        <f t="shared" si="6"/>
        <v>0</v>
      </c>
      <c r="AH22" s="259">
        <f t="shared" si="7"/>
        <v>0</v>
      </c>
      <c r="AI22" s="262">
        <f t="shared" si="8"/>
        <v>0</v>
      </c>
      <c r="AJ22" s="263">
        <f t="shared" si="9"/>
        <v>0</v>
      </c>
      <c r="AK22" s="262">
        <f t="shared" si="10"/>
        <v>0</v>
      </c>
      <c r="AL22" s="263">
        <f t="shared" si="11"/>
        <v>0</v>
      </c>
      <c r="AM22" s="262">
        <f t="shared" si="12"/>
        <v>0</v>
      </c>
      <c r="AN22" s="263">
        <f t="shared" si="13"/>
        <v>0</v>
      </c>
      <c r="AO22" s="264">
        <f t="shared" si="14"/>
        <v>0</v>
      </c>
      <c r="AP22" s="288">
        <f>IF(BI22&gt;0,1,0)</f>
        <v>0</v>
      </c>
      <c r="AQ22" s="289"/>
      <c r="AR22" s="290">
        <f>IF(BI22&lt;0,1,0)</f>
        <v>0</v>
      </c>
      <c r="AS22" s="291"/>
      <c r="AT22" s="267"/>
      <c r="AU22" s="229"/>
      <c r="AV22" s="213"/>
      <c r="AW22" s="213"/>
      <c r="AX22" s="213"/>
      <c r="AY22" s="292">
        <f>IF(BI22&gt;0,1,0)</f>
        <v>0</v>
      </c>
      <c r="AZ22" s="293"/>
      <c r="BA22" s="280">
        <f>IF(BI22&lt;0,1,0)</f>
        <v>0</v>
      </c>
      <c r="BB22" s="294"/>
      <c r="BC22" s="216">
        <f t="shared" si="15"/>
        <v>0</v>
      </c>
      <c r="BD22" s="216">
        <f t="shared" si="16"/>
        <v>0</v>
      </c>
      <c r="BE22" s="216">
        <f t="shared" si="17"/>
        <v>0</v>
      </c>
      <c r="BF22" s="216">
        <f t="shared" si="18"/>
        <v>0</v>
      </c>
      <c r="BG22" s="216">
        <f t="shared" si="19"/>
        <v>0</v>
      </c>
      <c r="BH22" s="216" t="str">
        <f t="shared" si="20"/>
        <v>M</v>
      </c>
      <c r="BI22" s="216">
        <f t="shared" si="21"/>
        <v>0</v>
      </c>
      <c r="BJ22" s="216"/>
      <c r="BK22" s="216"/>
      <c r="BL22" s="216" t="e">
        <f t="shared" si="22"/>
        <v>#VALUE!</v>
      </c>
      <c r="BM22" s="216">
        <f t="shared" si="23"/>
        <v>0</v>
      </c>
      <c r="BN22" s="216"/>
      <c r="BO22" s="257"/>
      <c r="BQ22" s="200"/>
      <c r="BR22" s="225"/>
      <c r="BS22" s="283">
        <f>AE13</f>
        <v>0</v>
      </c>
      <c r="BT22" s="283">
        <f>CC18</f>
        <v>0</v>
      </c>
      <c r="BU22" s="283">
        <f>CB18</f>
        <v>0</v>
      </c>
      <c r="BV22" s="283">
        <f>CC19</f>
        <v>0</v>
      </c>
      <c r="BW22" s="283">
        <f>CB19</f>
        <v>0</v>
      </c>
      <c r="BX22" s="283">
        <f>CC20</f>
        <v>0</v>
      </c>
      <c r="BY22" s="283">
        <f>CB20</f>
        <v>0</v>
      </c>
      <c r="BZ22" s="283">
        <f>CC21</f>
        <v>0</v>
      </c>
      <c r="CA22" s="295">
        <f>CB21</f>
        <v>0</v>
      </c>
      <c r="CB22" s="246"/>
      <c r="CC22" s="246"/>
      <c r="CD22" s="246"/>
      <c r="CE22" s="246"/>
      <c r="CF22" s="226">
        <f t="shared" si="2"/>
        <v>0</v>
      </c>
      <c r="CG22" s="219">
        <f t="shared" si="3"/>
        <v>0</v>
      </c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29"/>
      <c r="CT22" s="229"/>
      <c r="CU22" s="229"/>
      <c r="CV22" s="229"/>
      <c r="CW22" s="229"/>
      <c r="CX22" s="229"/>
      <c r="CY22" s="246"/>
      <c r="CZ22" s="229"/>
      <c r="DA22" s="229"/>
      <c r="DB22" s="229"/>
      <c r="DC22" s="229"/>
      <c r="DD22" s="229"/>
      <c r="DE22" s="229"/>
      <c r="DF22" s="246"/>
      <c r="DG22" s="229"/>
      <c r="DH22" s="229"/>
      <c r="DI22" s="229"/>
      <c r="DJ22" s="229"/>
      <c r="DK22" s="229"/>
      <c r="DL22" s="229"/>
      <c r="DM22" s="246"/>
      <c r="DN22" s="229"/>
      <c r="DO22" s="229"/>
      <c r="DP22" s="229"/>
      <c r="DQ22" s="229"/>
      <c r="DR22" s="229"/>
      <c r="DS22" s="229"/>
      <c r="DT22" s="246"/>
      <c r="DU22" s="229"/>
      <c r="DV22" s="229"/>
      <c r="DW22" s="229"/>
      <c r="DX22" s="229"/>
      <c r="DY22" s="229"/>
      <c r="DZ22" s="229"/>
      <c r="EA22" s="246"/>
      <c r="EB22" s="229"/>
      <c r="EC22" s="229"/>
      <c r="ED22" s="229"/>
      <c r="EE22" s="229"/>
      <c r="EF22" s="229"/>
      <c r="EG22" s="229"/>
      <c r="EH22" s="246"/>
      <c r="EI22" s="229"/>
      <c r="EJ22" s="229"/>
      <c r="EK22" s="229"/>
      <c r="EL22" s="229"/>
      <c r="EM22" s="229"/>
      <c r="EN22" s="229"/>
      <c r="EO22" s="246"/>
      <c r="EP22" s="229"/>
      <c r="EQ22" s="229"/>
      <c r="ER22" s="229"/>
      <c r="ES22" s="229"/>
      <c r="ET22" s="229"/>
      <c r="EU22" s="229"/>
      <c r="EV22" s="246"/>
      <c r="EW22" s="229"/>
      <c r="EX22" s="229"/>
      <c r="EY22" s="229"/>
      <c r="EZ22" s="229"/>
      <c r="FA22" s="229"/>
      <c r="FB22" s="229"/>
      <c r="FC22" s="246"/>
      <c r="FD22" s="229"/>
      <c r="FE22" s="229"/>
      <c r="FF22" s="229"/>
      <c r="FG22" s="229"/>
      <c r="FH22" s="229"/>
      <c r="FI22" s="229"/>
      <c r="FJ22" s="213"/>
      <c r="FK22" s="213"/>
      <c r="FL22" s="213"/>
      <c r="FM22" s="213"/>
    </row>
    <row r="23" spans="1:169" ht="21.95" customHeight="1" thickBot="1" x14ac:dyDescent="0.25">
      <c r="A23" s="394"/>
      <c r="B23" s="429" t="s">
        <v>4</v>
      </c>
      <c r="C23" s="394"/>
      <c r="D23" s="394"/>
      <c r="E23" s="394"/>
      <c r="F23" s="394"/>
      <c r="G23" s="394"/>
      <c r="H23" s="390"/>
      <c r="I23" s="390"/>
      <c r="J23" s="390"/>
      <c r="K23" s="296" t="s">
        <v>3</v>
      </c>
      <c r="L23" s="297"/>
      <c r="M23" s="298" t="str">
        <f>IF(AB23=AB22,K23,IF(AB23&gt;AB22,""))</f>
        <v/>
      </c>
      <c r="N23" s="390"/>
      <c r="O23" s="699" t="s">
        <v>18</v>
      </c>
      <c r="P23" s="700"/>
      <c r="Q23" s="700"/>
      <c r="R23" s="700"/>
      <c r="S23" s="700"/>
      <c r="T23" s="700"/>
      <c r="U23" s="700"/>
      <c r="V23" s="701"/>
      <c r="W23" s="517"/>
      <c r="X23" s="533" t="str">
        <f>IF(M23="OK",BK9,"")</f>
        <v/>
      </c>
      <c r="Y23" s="534" t="str">
        <f>IF(M23="OK",BK10,"")</f>
        <v/>
      </c>
      <c r="Z23" s="534" t="str">
        <f>IF(M23="OK",BK11,"")</f>
        <v/>
      </c>
      <c r="AA23" s="554" t="str">
        <f>IF(M23="OK",BK12,"")</f>
        <v/>
      </c>
      <c r="AB23" s="398">
        <v>6</v>
      </c>
      <c r="AC23" s="258">
        <f>IF(AF10&lt;&gt;" ",AF10," ")</f>
        <v>2</v>
      </c>
      <c r="AD23" s="259">
        <f>IF(AF12&lt;&gt;" ",AF12," ")</f>
        <v>4</v>
      </c>
      <c r="AE23" s="275" t="str">
        <f t="shared" si="4"/>
        <v xml:space="preserve"> </v>
      </c>
      <c r="AF23" s="261">
        <f t="shared" si="5"/>
        <v>0</v>
      </c>
      <c r="AG23" s="262">
        <f t="shared" si="6"/>
        <v>0</v>
      </c>
      <c r="AH23" s="259">
        <f t="shared" si="7"/>
        <v>0</v>
      </c>
      <c r="AI23" s="262">
        <f t="shared" si="8"/>
        <v>0</v>
      </c>
      <c r="AJ23" s="263">
        <f t="shared" si="9"/>
        <v>0</v>
      </c>
      <c r="AK23" s="262">
        <f t="shared" si="10"/>
        <v>0</v>
      </c>
      <c r="AL23" s="263">
        <f t="shared" si="11"/>
        <v>0</v>
      </c>
      <c r="AM23" s="262">
        <f t="shared" si="12"/>
        <v>0</v>
      </c>
      <c r="AN23" s="263">
        <f t="shared" si="13"/>
        <v>0</v>
      </c>
      <c r="AO23" s="264">
        <f t="shared" si="14"/>
        <v>0</v>
      </c>
      <c r="AP23" s="276"/>
      <c r="AQ23" s="277">
        <f>IF(BI23&gt;0,1,0)</f>
        <v>0</v>
      </c>
      <c r="AR23" s="281"/>
      <c r="AS23" s="299">
        <f>IF(BI23&lt;0,1,0)</f>
        <v>0</v>
      </c>
      <c r="AT23" s="278"/>
      <c r="AU23" s="229"/>
      <c r="AV23" s="213"/>
      <c r="AW23" s="213"/>
      <c r="AX23" s="213"/>
      <c r="AY23" s="279"/>
      <c r="AZ23" s="280">
        <f>IF(BI23&gt;0,1,0)</f>
        <v>0</v>
      </c>
      <c r="BB23" s="300">
        <f>IF(BI23&lt;0,1,0)</f>
        <v>0</v>
      </c>
      <c r="BC23" s="216">
        <f t="shared" si="15"/>
        <v>0</v>
      </c>
      <c r="BD23" s="216">
        <f t="shared" si="16"/>
        <v>0</v>
      </c>
      <c r="BE23" s="216">
        <f t="shared" si="17"/>
        <v>0</v>
      </c>
      <c r="BF23" s="216">
        <f t="shared" si="18"/>
        <v>0</v>
      </c>
      <c r="BG23" s="216">
        <f t="shared" si="19"/>
        <v>0</v>
      </c>
      <c r="BH23" s="216" t="str">
        <f t="shared" si="20"/>
        <v>M</v>
      </c>
      <c r="BI23" s="216">
        <f t="shared" si="21"/>
        <v>0</v>
      </c>
      <c r="BJ23" s="216"/>
      <c r="BK23" s="216"/>
      <c r="BL23" s="216" t="e">
        <f t="shared" si="22"/>
        <v>#VALUE!</v>
      </c>
      <c r="BM23" s="216">
        <f t="shared" si="23"/>
        <v>0</v>
      </c>
      <c r="BN23" s="216"/>
      <c r="BO23" s="257"/>
      <c r="BQ23" s="200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46"/>
      <c r="CE23" s="246"/>
      <c r="CF23" s="226">
        <f t="shared" si="2"/>
        <v>0</v>
      </c>
      <c r="CG23" s="219">
        <f t="shared" si="3"/>
        <v>0</v>
      </c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29"/>
      <c r="CT23" s="229"/>
      <c r="CU23" s="229"/>
      <c r="CV23" s="229"/>
      <c r="CW23" s="229"/>
      <c r="CX23" s="229"/>
      <c r="CY23" s="226"/>
      <c r="CZ23" s="246"/>
      <c r="DA23" s="229"/>
      <c r="DB23" s="229"/>
      <c r="DC23" s="229"/>
      <c r="DD23" s="229"/>
      <c r="DE23" s="229"/>
      <c r="DF23" s="246"/>
      <c r="DG23" s="229"/>
      <c r="DH23" s="229"/>
      <c r="DI23" s="229"/>
      <c r="DJ23" s="229"/>
      <c r="DK23" s="229"/>
      <c r="DL23" s="229"/>
      <c r="DM23" s="246"/>
      <c r="DN23" s="229"/>
      <c r="DO23" s="229"/>
      <c r="DP23" s="229"/>
      <c r="DQ23" s="229"/>
      <c r="DR23" s="229"/>
      <c r="DS23" s="229"/>
      <c r="DT23" s="225"/>
      <c r="DU23" s="226"/>
      <c r="DV23" s="213"/>
      <c r="DW23" s="225"/>
      <c r="DX23" s="226"/>
      <c r="DY23" s="226"/>
      <c r="DZ23" s="225"/>
      <c r="EA23" s="225"/>
      <c r="EB23" s="226" t="e">
        <f>IF(EG18&gt;0,DZ18/EG18,"???")</f>
        <v>#VALUE!</v>
      </c>
      <c r="EC23" s="226" t="e">
        <f>IF(EG19&gt;0,DZ19/EG19,"???")</f>
        <v>#VALUE!</v>
      </c>
      <c r="ED23" s="226" t="e">
        <f>IF(EG20&gt;0,DZ20/EG20,"???")</f>
        <v>#VALUE!</v>
      </c>
      <c r="EE23" s="226" t="e">
        <f>IF(EG21&gt;0,DZ21/EG21,"???")</f>
        <v>#VALUE!</v>
      </c>
      <c r="EF23" s="226" t="str">
        <f>IF(EG22&gt;0,DZ22/EG22,"???")</f>
        <v>???</v>
      </c>
      <c r="EG23" s="226"/>
      <c r="EH23" s="246"/>
      <c r="EI23" s="229"/>
      <c r="EJ23" s="229"/>
      <c r="EK23" s="229"/>
      <c r="EL23" s="229"/>
      <c r="EM23" s="229"/>
      <c r="EN23" s="226">
        <f>SUM(EI23:EM23)</f>
        <v>0</v>
      </c>
      <c r="EO23" s="246"/>
      <c r="EP23" s="225" t="e">
        <f>IF(EU18&gt;0,EN18/EU18,"???")</f>
        <v>#VALUE!</v>
      </c>
      <c r="EQ23" s="225" t="e">
        <f>IF(EU19&gt;0,EN19/EU19,"???")</f>
        <v>#VALUE!</v>
      </c>
      <c r="ER23" s="225" t="e">
        <f>IF(EU20&gt;0,EN20/EU20,"???")</f>
        <v>#VALUE!</v>
      </c>
      <c r="ES23" s="225" t="e">
        <f>IF(EU21&gt;0,EN21/EU21,"???")</f>
        <v>#VALUE!</v>
      </c>
      <c r="ET23" s="225" t="str">
        <f>IF(EU22&gt;0,EN22/EU22,"???")</f>
        <v>???</v>
      </c>
      <c r="EU23" s="226"/>
      <c r="EV23" s="246"/>
      <c r="EW23" s="229"/>
      <c r="EX23" s="229"/>
      <c r="EY23" s="229"/>
      <c r="EZ23" s="229"/>
      <c r="FA23" s="229"/>
      <c r="FB23" s="301" t="e">
        <f>SUM(FB18:FB22)</f>
        <v>#VALUE!</v>
      </c>
      <c r="FC23" s="246"/>
      <c r="FD23" s="229"/>
      <c r="FF23" s="229"/>
      <c r="FG23" s="229"/>
      <c r="FH23" s="229"/>
      <c r="FI23" s="301" t="e">
        <f>SUM(FI18:FI22)</f>
        <v>#VALUE!</v>
      </c>
      <c r="FJ23" s="213"/>
      <c r="FK23" s="213"/>
      <c r="FL23" s="213"/>
      <c r="FM23" s="213"/>
    </row>
    <row r="24" spans="1:169" ht="21.95" customHeight="1" thickBot="1" x14ac:dyDescent="0.25">
      <c r="AA24" s="390"/>
      <c r="AC24" s="273">
        <f>IF(AF9&lt;&gt;" ",AF9," ")</f>
        <v>1</v>
      </c>
      <c r="AD24" s="274">
        <f>IF(AF10&lt;&gt;" ",AF10," ")</f>
        <v>2</v>
      </c>
      <c r="AE24" s="275" t="str">
        <f t="shared" si="4"/>
        <v xml:space="preserve"> </v>
      </c>
      <c r="AF24" s="261">
        <f t="shared" si="5"/>
        <v>0</v>
      </c>
      <c r="AG24" s="262">
        <f t="shared" si="6"/>
        <v>0</v>
      </c>
      <c r="AH24" s="259">
        <f t="shared" si="7"/>
        <v>0</v>
      </c>
      <c r="AI24" s="262">
        <f t="shared" si="8"/>
        <v>0</v>
      </c>
      <c r="AJ24" s="263">
        <f t="shared" si="9"/>
        <v>0</v>
      </c>
      <c r="AK24" s="262">
        <f t="shared" si="10"/>
        <v>0</v>
      </c>
      <c r="AL24" s="263">
        <f t="shared" si="11"/>
        <v>0</v>
      </c>
      <c r="AM24" s="262">
        <f t="shared" si="12"/>
        <v>0</v>
      </c>
      <c r="AN24" s="263">
        <f t="shared" si="13"/>
        <v>0</v>
      </c>
      <c r="AO24" s="264">
        <f t="shared" si="14"/>
        <v>0</v>
      </c>
      <c r="AP24" s="288">
        <f>IF(BI24&gt;0,1,0)</f>
        <v>0</v>
      </c>
      <c r="AQ24" s="277">
        <f>IF(BI24&lt;0,1,0)</f>
        <v>0</v>
      </c>
      <c r="AR24" s="302"/>
      <c r="AT24" s="278"/>
      <c r="AU24" s="229"/>
      <c r="AV24" s="213"/>
      <c r="AW24" s="213"/>
      <c r="AX24" s="213"/>
      <c r="AY24" s="292">
        <f>IF(BI24&gt;0,1,0)</f>
        <v>0</v>
      </c>
      <c r="AZ24" s="280">
        <f>IF(BI24&lt;0,1,0)</f>
        <v>0</v>
      </c>
      <c r="BA24" s="293"/>
      <c r="BB24" s="303"/>
      <c r="BC24" s="216">
        <f t="shared" si="15"/>
        <v>0</v>
      </c>
      <c r="BD24" s="216">
        <f t="shared" si="16"/>
        <v>0</v>
      </c>
      <c r="BE24" s="216">
        <f t="shared" si="17"/>
        <v>0</v>
      </c>
      <c r="BF24" s="216">
        <f t="shared" si="18"/>
        <v>0</v>
      </c>
      <c r="BG24" s="216">
        <f t="shared" si="19"/>
        <v>0</v>
      </c>
      <c r="BH24" s="216" t="str">
        <f t="shared" si="20"/>
        <v>M</v>
      </c>
      <c r="BI24" s="216">
        <f t="shared" si="21"/>
        <v>0</v>
      </c>
      <c r="BJ24" s="216"/>
      <c r="BK24" s="216"/>
      <c r="BL24" s="216" t="e">
        <f t="shared" si="22"/>
        <v>#VALUE!</v>
      </c>
      <c r="BM24" s="216">
        <f t="shared" si="23"/>
        <v>0</v>
      </c>
      <c r="BN24" s="216"/>
      <c r="BO24" s="257"/>
      <c r="BQ24" s="200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6">
        <f t="shared" si="2"/>
        <v>0</v>
      </c>
      <c r="CG24" s="219">
        <f t="shared" si="3"/>
        <v>0</v>
      </c>
      <c r="CH24" s="246"/>
      <c r="CI24" s="246"/>
      <c r="CJ24" s="246"/>
      <c r="CK24" s="246"/>
      <c r="CL24" s="246"/>
      <c r="CM24" s="246"/>
      <c r="CN24" s="246"/>
      <c r="CO24" s="246"/>
      <c r="CP24" s="246"/>
      <c r="CQ24" s="246"/>
      <c r="CR24" s="246"/>
      <c r="CS24" s="246"/>
      <c r="CT24" s="246"/>
      <c r="CU24" s="246"/>
      <c r="CV24" s="246"/>
      <c r="CW24" s="246"/>
      <c r="CX24" s="246"/>
      <c r="CY24" s="226"/>
      <c r="CZ24" s="246"/>
      <c r="DA24" s="229"/>
      <c r="DB24" s="229"/>
      <c r="DC24" s="229"/>
      <c r="DD24" s="229"/>
      <c r="DE24" s="229"/>
      <c r="DF24" s="229"/>
      <c r="DG24" s="229"/>
      <c r="DH24" s="246"/>
      <c r="DI24" s="229"/>
      <c r="DJ24" s="229"/>
      <c r="DK24" s="229"/>
      <c r="DL24" s="229"/>
      <c r="DM24" s="246"/>
      <c r="DN24" s="229"/>
      <c r="DO24" s="229"/>
      <c r="DP24" s="229"/>
      <c r="DQ24" s="229"/>
      <c r="DR24" s="229"/>
      <c r="DS24" s="229"/>
      <c r="DT24" s="225"/>
      <c r="DU24" s="226"/>
      <c r="DV24" s="226"/>
      <c r="DW24" s="226"/>
      <c r="DX24" s="226"/>
      <c r="DY24" s="226"/>
      <c r="DZ24" s="229"/>
      <c r="EA24" s="225"/>
      <c r="EH24" s="246"/>
      <c r="EI24" s="246"/>
      <c r="EJ24" s="246"/>
      <c r="EK24" s="246"/>
      <c r="EL24" s="246"/>
      <c r="EM24" s="246"/>
      <c r="EN24" s="226">
        <f>SUM(EI24:EM24)</f>
        <v>0</v>
      </c>
      <c r="EO24" s="213"/>
      <c r="EP24" s="213"/>
      <c r="EQ24" s="213"/>
      <c r="ER24" s="213"/>
      <c r="ES24" s="213"/>
      <c r="ET24" s="213"/>
      <c r="EU24" s="213"/>
      <c r="EV24" s="246"/>
      <c r="EW24" s="229"/>
      <c r="EX24" s="229"/>
      <c r="EY24" s="226"/>
      <c r="EZ24" s="229"/>
      <c r="FA24" s="229"/>
      <c r="FB24" s="229"/>
      <c r="FC24" s="246"/>
      <c r="FD24" s="229"/>
      <c r="FE24" s="225"/>
      <c r="FF24" s="229"/>
      <c r="FG24" s="229"/>
      <c r="FH24" s="229"/>
      <c r="FI24" s="229"/>
      <c r="FJ24" s="213"/>
      <c r="FK24" s="213"/>
      <c r="FL24" s="213"/>
      <c r="FM24" s="213"/>
    </row>
    <row r="25" spans="1:169" ht="21.95" customHeight="1" thickBot="1" x14ac:dyDescent="0.25">
      <c r="A25" s="706" t="s">
        <v>230</v>
      </c>
      <c r="B25" s="707"/>
      <c r="C25" s="726" t="str">
        <f>IF($AB22&lt;6,"",IF($X23=1,C9,IF($Y23=1,C10,IF($Z23=1,C11,IF($AA23=1,C12)))))</f>
        <v/>
      </c>
      <c r="D25" s="727"/>
      <c r="E25" s="661" t="str">
        <f>IF(C25="","",VLOOKUP(C25,liste!$A$9:$G$145,2,FALSE))</f>
        <v/>
      </c>
      <c r="F25" s="662"/>
      <c r="G25" s="662"/>
      <c r="H25" s="662"/>
      <c r="I25" s="663"/>
      <c r="J25" s="546" t="str">
        <f>IF(C25="","",VLOOKUP(C25,liste!$A$9:$G$145,4,FALSE))</f>
        <v/>
      </c>
      <c r="K25" s="661" t="str">
        <f>IF(C25="","",VLOOKUP(C25,liste!$A$9:$G$145,3,FALSE))</f>
        <v/>
      </c>
      <c r="L25" s="662" t="e">
        <v>#REF!</v>
      </c>
      <c r="M25" s="662" t="e">
        <v>#N/A</v>
      </c>
      <c r="N25" s="663" t="e">
        <v>#REF!</v>
      </c>
      <c r="O25" s="397"/>
      <c r="P25" s="702" t="s">
        <v>231</v>
      </c>
      <c r="Q25" s="702"/>
      <c r="R25" s="702"/>
      <c r="AA25" s="390"/>
      <c r="AC25" s="273">
        <f>IF(AF11&lt;&gt;" ",AF11," ")</f>
        <v>3</v>
      </c>
      <c r="AD25" s="274">
        <f>IF(AF12&lt;&gt;" ",AF12," ")</f>
        <v>4</v>
      </c>
      <c r="AE25" s="275" t="str">
        <f t="shared" si="4"/>
        <v xml:space="preserve"> </v>
      </c>
      <c r="AF25" s="261">
        <f t="shared" si="5"/>
        <v>0</v>
      </c>
      <c r="AG25" s="262">
        <f t="shared" si="6"/>
        <v>0</v>
      </c>
      <c r="AH25" s="259">
        <f t="shared" si="7"/>
        <v>0</v>
      </c>
      <c r="AI25" s="262">
        <f t="shared" si="8"/>
        <v>0</v>
      </c>
      <c r="AJ25" s="263">
        <f t="shared" si="9"/>
        <v>0</v>
      </c>
      <c r="AK25" s="262">
        <f t="shared" si="10"/>
        <v>0</v>
      </c>
      <c r="AL25" s="263">
        <f t="shared" si="11"/>
        <v>0</v>
      </c>
      <c r="AM25" s="262">
        <f t="shared" si="12"/>
        <v>0</v>
      </c>
      <c r="AN25" s="263">
        <f t="shared" si="13"/>
        <v>0</v>
      </c>
      <c r="AO25" s="264">
        <f t="shared" si="14"/>
        <v>0</v>
      </c>
      <c r="AP25" s="276"/>
      <c r="AR25" s="277">
        <f>IF(BI25&gt;0,1,0)</f>
        <v>0</v>
      </c>
      <c r="AS25" s="290">
        <f>IF(BI25&lt;0,1,0)</f>
        <v>0</v>
      </c>
      <c r="AT25" s="267"/>
      <c r="AU25" s="229"/>
      <c r="AV25" s="213"/>
      <c r="AW25" s="213"/>
      <c r="AX25" s="213"/>
      <c r="AY25" s="304"/>
      <c r="AZ25" s="305"/>
      <c r="BA25" s="306">
        <f>IF(BI25&gt;0,1,0)</f>
        <v>0</v>
      </c>
      <c r="BB25" s="306">
        <f>IF(BI25&lt;0,1,0)</f>
        <v>0</v>
      </c>
      <c r="BC25" s="307">
        <f t="shared" si="15"/>
        <v>0</v>
      </c>
      <c r="BD25" s="307">
        <f t="shared" si="16"/>
        <v>0</v>
      </c>
      <c r="BE25" s="307">
        <f t="shared" si="17"/>
        <v>0</v>
      </c>
      <c r="BF25" s="307">
        <f t="shared" si="18"/>
        <v>0</v>
      </c>
      <c r="BG25" s="307">
        <f t="shared" si="19"/>
        <v>0</v>
      </c>
      <c r="BH25" s="307" t="str">
        <f t="shared" si="20"/>
        <v>M</v>
      </c>
      <c r="BI25" s="307">
        <f t="shared" si="21"/>
        <v>0</v>
      </c>
      <c r="BJ25" s="307"/>
      <c r="BK25" s="307"/>
      <c r="BL25" s="307" t="e">
        <f t="shared" si="22"/>
        <v>#VALUE!</v>
      </c>
      <c r="BM25" s="307">
        <f t="shared" si="23"/>
        <v>0</v>
      </c>
      <c r="BN25" s="307"/>
      <c r="BO25" s="308"/>
      <c r="BQ25" s="200"/>
      <c r="BR25" s="225"/>
      <c r="BS25" s="225">
        <f>AE16</f>
        <v>0</v>
      </c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6"/>
      <c r="DB25" s="226"/>
      <c r="DC25" s="226"/>
      <c r="DD25" s="226"/>
      <c r="DE25" s="226"/>
      <c r="DF25" s="226"/>
      <c r="DG25" s="225"/>
      <c r="DH25" s="225"/>
      <c r="DI25" s="226"/>
      <c r="DJ25" s="226"/>
      <c r="DK25" s="226"/>
      <c r="DL25" s="226"/>
      <c r="DM25" s="226"/>
      <c r="DN25" s="226"/>
      <c r="DO25" s="225"/>
      <c r="DP25" s="225"/>
      <c r="DQ25" s="226"/>
      <c r="DR25" s="226"/>
      <c r="DS25" s="226"/>
      <c r="DT25" s="213"/>
      <c r="DU25" s="213"/>
      <c r="DV25" s="213"/>
      <c r="DW25" s="213"/>
      <c r="DX25" s="213"/>
      <c r="DY25" s="213"/>
      <c r="DZ25" s="213"/>
      <c r="EA25" s="225"/>
      <c r="EB25" s="213"/>
      <c r="EC25" s="213"/>
      <c r="ED25" s="213"/>
      <c r="EE25" s="213"/>
      <c r="EF25" s="213"/>
      <c r="EG25" s="229"/>
      <c r="EH25" s="225"/>
      <c r="EI25" s="225"/>
      <c r="EJ25" s="225"/>
      <c r="EK25" s="225"/>
      <c r="EL25" s="225"/>
      <c r="EM25" s="225"/>
      <c r="EN25" s="225"/>
      <c r="EO25" s="213"/>
      <c r="EP25" s="213"/>
      <c r="EQ25" s="213"/>
      <c r="ER25" s="213"/>
      <c r="ES25" s="213"/>
      <c r="ET25" s="213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F25" s="225"/>
      <c r="FG25" s="225"/>
      <c r="FH25" s="225"/>
      <c r="FI25" s="225"/>
      <c r="FJ25" s="213"/>
      <c r="FK25" s="213"/>
      <c r="FL25" s="213"/>
      <c r="FM25" s="213"/>
    </row>
    <row r="26" spans="1:169" ht="21.95" customHeight="1" thickTop="1" thickBot="1" x14ac:dyDescent="0.25">
      <c r="A26" s="732" t="s">
        <v>232</v>
      </c>
      <c r="B26" s="733"/>
      <c r="C26" s="734" t="str">
        <f>IF($AB22&lt;6,"",IF($X23=2,C9,IF($Y23=2,C10,IF($Z23=2,C11,IF($AA23=2,C12)))))</f>
        <v/>
      </c>
      <c r="D26" s="735"/>
      <c r="E26" s="664" t="str">
        <f>IF(C26="","",VLOOKUP(C26,liste!$A$9:$G$145,2,FALSE))</f>
        <v/>
      </c>
      <c r="F26" s="665"/>
      <c r="G26" s="665"/>
      <c r="H26" s="665"/>
      <c r="I26" s="666"/>
      <c r="J26" s="547" t="str">
        <f>IF(C26="","",VLOOKUP(C26,liste!$A$9:$G$145,4,FALSE))</f>
        <v/>
      </c>
      <c r="K26" s="664" t="str">
        <f>IF(C26="","",VLOOKUP(C26,liste!$A$9:$G$145,3,FALSE))</f>
        <v/>
      </c>
      <c r="L26" s="665" t="e">
        <v>#REF!</v>
      </c>
      <c r="M26" s="665" t="e">
        <v>#N/A</v>
      </c>
      <c r="N26" s="666" t="e">
        <v>#REF!</v>
      </c>
      <c r="P26" s="731">
        <f>liste!$B$145</f>
        <v>0</v>
      </c>
      <c r="Q26" s="731"/>
      <c r="R26" s="731"/>
      <c r="S26" s="731"/>
      <c r="T26" s="731"/>
      <c r="U26" s="731"/>
      <c r="AA26" s="390"/>
      <c r="AC26" s="309"/>
      <c r="AD26" s="310"/>
      <c r="AE26" s="310"/>
      <c r="AF26" s="311"/>
      <c r="AG26" s="311"/>
      <c r="AH26" s="311"/>
      <c r="AI26" s="311"/>
      <c r="AJ26" s="312"/>
      <c r="AK26" s="312"/>
      <c r="AL26" s="313"/>
      <c r="AM26" s="312" t="s">
        <v>71</v>
      </c>
      <c r="AN26" s="311"/>
      <c r="AO26" s="314"/>
      <c r="AP26" s="315">
        <f>SUM(AP20:AP25)</f>
        <v>0</v>
      </c>
      <c r="AQ26" s="316">
        <f>SUM(AQ20:AQ25)</f>
        <v>0</v>
      </c>
      <c r="AR26" s="316">
        <f>SUM(AR20:AR25)</f>
        <v>0</v>
      </c>
      <c r="AS26" s="317">
        <f>SUM(AS20:AS25)</f>
        <v>0</v>
      </c>
      <c r="AT26" s="318">
        <f>SUM(AT20:AT25)</f>
        <v>0</v>
      </c>
      <c r="AU26" s="229"/>
      <c r="AV26" s="213"/>
      <c r="AW26" s="213"/>
      <c r="AX26" s="213"/>
      <c r="AY26" s="301"/>
      <c r="AZ26" s="301"/>
      <c r="BA26" s="301"/>
      <c r="BB26" s="301"/>
      <c r="BC26" s="301"/>
      <c r="BD26" s="229"/>
      <c r="BE26" s="226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5"/>
      <c r="BS26" s="225">
        <f>AE17</f>
        <v>0</v>
      </c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6"/>
      <c r="DB26" s="226"/>
      <c r="DC26" s="226"/>
      <c r="DD26" s="226"/>
      <c r="DE26" s="226"/>
      <c r="DF26" s="226"/>
      <c r="DG26" s="225"/>
      <c r="DH26" s="225"/>
      <c r="DI26" s="226"/>
      <c r="DJ26" s="226"/>
      <c r="DK26" s="226"/>
      <c r="DL26" s="226"/>
      <c r="DM26" s="226"/>
      <c r="DN26" s="226"/>
      <c r="DO26" s="225"/>
      <c r="DP26" s="225"/>
      <c r="DQ26" s="226"/>
      <c r="DR26" s="226"/>
      <c r="DS26" s="226"/>
      <c r="DT26" s="226"/>
      <c r="DU26" s="226"/>
      <c r="DV26" s="226"/>
      <c r="DW26" s="225"/>
      <c r="DX26" s="225"/>
      <c r="DY26" s="226"/>
      <c r="DZ26" s="226"/>
      <c r="EA26" s="213"/>
      <c r="EB26" s="226"/>
      <c r="EC26" s="226"/>
      <c r="ED26" s="226"/>
      <c r="EE26" s="225">
        <f>SUM(DY26:ED26)</f>
        <v>0</v>
      </c>
      <c r="EF26" s="225"/>
      <c r="EG26" s="213"/>
      <c r="EH26" s="225"/>
      <c r="EI26" s="225"/>
      <c r="EJ26" s="225"/>
      <c r="EK26" s="225"/>
      <c r="EL26" s="225"/>
      <c r="EM26" s="225"/>
      <c r="EN26" s="225"/>
      <c r="EO26" s="213"/>
      <c r="EP26" s="213"/>
      <c r="EQ26" s="213"/>
      <c r="ER26" s="213"/>
      <c r="ES26" s="213"/>
      <c r="ET26" s="213"/>
      <c r="EU26" s="225"/>
      <c r="EV26" s="225"/>
      <c r="EW26" s="213"/>
      <c r="EX26" s="213"/>
      <c r="EY26" s="213"/>
      <c r="EZ26" s="213"/>
      <c r="FA26" s="213"/>
      <c r="FB26" s="213"/>
      <c r="FC26" s="225"/>
      <c r="FD26" s="225"/>
      <c r="FE26" s="225"/>
      <c r="FF26" s="225"/>
      <c r="FG26" s="225"/>
      <c r="FH26" s="225"/>
      <c r="FI26" s="225"/>
      <c r="FJ26" s="213"/>
      <c r="FK26" s="213"/>
      <c r="FL26" s="213"/>
      <c r="FM26" s="213"/>
    </row>
    <row r="27" spans="1:169" ht="21.95" customHeight="1" thickTop="1" x14ac:dyDescent="0.2">
      <c r="A27" s="732" t="s">
        <v>233</v>
      </c>
      <c r="B27" s="733"/>
      <c r="C27" s="734" t="str">
        <f>IF($AB22&lt;6,"",IF($X23=3,C9,IF($Y23=3,C10,IF($Z23=3,C11,IF($AA23=3,C12)))))</f>
        <v/>
      </c>
      <c r="D27" s="735"/>
      <c r="E27" s="664" t="str">
        <f>IF(C27="","",VLOOKUP(C27,liste!$A$9:$G$145,2,FALSE))</f>
        <v/>
      </c>
      <c r="F27" s="665"/>
      <c r="G27" s="665"/>
      <c r="H27" s="665"/>
      <c r="I27" s="666"/>
      <c r="J27" s="547" t="str">
        <f>IF(C27="","",VLOOKUP(C27,liste!$A$9:$G$145,4,FALSE))</f>
        <v/>
      </c>
      <c r="K27" s="664" t="str">
        <f>IF(C27="","",VLOOKUP(C27,liste!$A$9:$G$145,3,FALSE))</f>
        <v/>
      </c>
      <c r="L27" s="665" t="e">
        <v>#REF!</v>
      </c>
      <c r="M27" s="665" t="e">
        <v>#N/A</v>
      </c>
      <c r="N27" s="666" t="e">
        <v>#REF!</v>
      </c>
      <c r="AA27" s="390"/>
      <c r="AU27" s="229"/>
      <c r="AV27" s="213"/>
      <c r="AW27" s="213"/>
      <c r="AX27" s="213"/>
      <c r="AY27" s="301"/>
      <c r="AZ27" s="301"/>
      <c r="BA27" s="301"/>
      <c r="BB27" s="301"/>
      <c r="BC27" s="301"/>
      <c r="BD27" s="229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6"/>
      <c r="DB27" s="226"/>
      <c r="DC27" s="226"/>
      <c r="DD27" s="226"/>
      <c r="DE27" s="226"/>
      <c r="DF27" s="226"/>
      <c r="DG27" s="225"/>
      <c r="DH27" s="225"/>
      <c r="DI27" s="226"/>
      <c r="DJ27" s="226"/>
      <c r="DK27" s="226"/>
      <c r="DL27" s="226"/>
      <c r="DM27" s="226"/>
      <c r="DN27" s="226"/>
      <c r="DO27" s="225"/>
      <c r="DP27" s="225"/>
      <c r="DQ27" s="226"/>
      <c r="DR27" s="226"/>
      <c r="DS27" s="226"/>
      <c r="DT27" s="226"/>
      <c r="DU27" s="226"/>
      <c r="DV27" s="226"/>
      <c r="DW27" s="225"/>
      <c r="DX27" s="225"/>
      <c r="DY27" s="226"/>
      <c r="DZ27" s="226"/>
      <c r="EA27" s="226"/>
      <c r="EB27" s="226"/>
      <c r="EC27" s="226"/>
      <c r="ED27" s="226"/>
      <c r="EE27" s="225">
        <f>SUM(DY27:ED27)</f>
        <v>0</v>
      </c>
      <c r="EF27" s="225"/>
      <c r="EG27" s="218"/>
      <c r="EH27" s="218"/>
      <c r="EI27" s="218"/>
      <c r="EJ27" s="218"/>
      <c r="EK27" s="218"/>
      <c r="EL27" s="218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13"/>
      <c r="FK27" s="213"/>
      <c r="FL27" s="213"/>
      <c r="FM27" s="213"/>
    </row>
    <row r="28" spans="1:169" ht="21.95" customHeight="1" thickBot="1" x14ac:dyDescent="0.25">
      <c r="A28" s="716" t="s">
        <v>234</v>
      </c>
      <c r="B28" s="717"/>
      <c r="C28" s="739" t="str">
        <f>IF($AB22&lt;6,"",IF($X23=4,C9,IF($Y23=4,C10,IF($Z23=4,C11,IF(AA23=4,C12)))))</f>
        <v/>
      </c>
      <c r="D28" s="740"/>
      <c r="E28" s="658" t="str">
        <f>IF(C28="","",VLOOKUP(C28,liste!$A$9:$G$145,2,FALSE))</f>
        <v/>
      </c>
      <c r="F28" s="659"/>
      <c r="G28" s="659"/>
      <c r="H28" s="659"/>
      <c r="I28" s="660"/>
      <c r="J28" s="548" t="str">
        <f>IF(C28="","",VLOOKUP(C28,liste!$A$9:$G$145,4,FALSE))</f>
        <v/>
      </c>
      <c r="K28" s="658" t="str">
        <f>IF(C28="","",VLOOKUP(C28,liste!$A$9:$G$145,3,FALSE))</f>
        <v/>
      </c>
      <c r="L28" s="659" t="e">
        <v>#REF!</v>
      </c>
      <c r="M28" s="659" t="e">
        <v>#N/A</v>
      </c>
      <c r="N28" s="660" t="e">
        <v>#REF!</v>
      </c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U28" s="229"/>
      <c r="AV28" s="213"/>
      <c r="AW28" s="213"/>
      <c r="AX28" s="213"/>
      <c r="AY28" s="301"/>
      <c r="AZ28" s="301"/>
      <c r="BA28" s="301"/>
      <c r="BB28" s="301"/>
      <c r="BC28" s="301"/>
      <c r="BD28" s="229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18"/>
      <c r="CG28" s="218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 t="s">
        <v>5</v>
      </c>
      <c r="CT28" s="225" t="s">
        <v>5</v>
      </c>
      <c r="CU28" s="225"/>
      <c r="CV28" s="225"/>
      <c r="CW28" s="225" t="s">
        <v>5</v>
      </c>
      <c r="CX28" s="225" t="s">
        <v>5</v>
      </c>
      <c r="CY28" s="225"/>
      <c r="CZ28" s="225"/>
      <c r="DA28" s="226" t="s">
        <v>5</v>
      </c>
      <c r="DB28" s="226" t="s">
        <v>5</v>
      </c>
      <c r="DC28" s="226"/>
      <c r="DD28" s="226"/>
      <c r="DE28" s="226" t="s">
        <v>5</v>
      </c>
      <c r="DF28" s="226" t="s">
        <v>5</v>
      </c>
      <c r="DG28" s="225"/>
      <c r="DH28" s="225"/>
      <c r="DI28" s="226" t="s">
        <v>5</v>
      </c>
      <c r="DJ28" s="226" t="s">
        <v>5</v>
      </c>
      <c r="DK28" s="226"/>
      <c r="DL28" s="226"/>
      <c r="DM28" s="226" t="s">
        <v>5</v>
      </c>
      <c r="DN28" s="226" t="s">
        <v>5</v>
      </c>
      <c r="DO28" s="225"/>
      <c r="DP28" s="225"/>
      <c r="DQ28" s="226" t="s">
        <v>5</v>
      </c>
      <c r="DR28" s="226" t="s">
        <v>5</v>
      </c>
      <c r="DS28" s="226"/>
      <c r="DT28" s="226"/>
      <c r="DU28" s="226" t="s">
        <v>5</v>
      </c>
      <c r="DV28" s="226" t="s">
        <v>5</v>
      </c>
      <c r="DW28" s="225"/>
      <c r="DX28" s="225"/>
      <c r="DY28" s="226" t="s">
        <v>5</v>
      </c>
      <c r="DZ28" s="226" t="s">
        <v>70</v>
      </c>
      <c r="EA28" s="226" t="s">
        <v>5</v>
      </c>
      <c r="EB28" s="226"/>
      <c r="EC28" s="226"/>
      <c r="ED28" s="226" t="s">
        <v>5</v>
      </c>
      <c r="EE28" s="225">
        <f>SUM(DY28:ED28)</f>
        <v>0</v>
      </c>
      <c r="EF28" s="225"/>
      <c r="EG28" s="225"/>
      <c r="EH28" s="225"/>
      <c r="EI28" s="225"/>
      <c r="EJ28" s="225"/>
      <c r="EK28" s="225"/>
      <c r="EL28" s="225"/>
      <c r="EM28" s="225"/>
      <c r="EN28" s="225"/>
      <c r="EO28" s="225" t="s">
        <v>5</v>
      </c>
      <c r="EP28" s="225" t="s">
        <v>70</v>
      </c>
      <c r="EQ28" s="225" t="s">
        <v>5</v>
      </c>
      <c r="ER28" s="225"/>
      <c r="ES28" s="225"/>
      <c r="ET28" s="225" t="s">
        <v>5</v>
      </c>
      <c r="EU28" s="225"/>
      <c r="EV28" s="225"/>
      <c r="EW28" s="225" t="s">
        <v>5</v>
      </c>
      <c r="EX28" s="225" t="s">
        <v>5</v>
      </c>
      <c r="EY28" s="225"/>
      <c r="EZ28" s="225"/>
      <c r="FA28" s="225" t="s">
        <v>5</v>
      </c>
      <c r="FB28" s="225" t="s">
        <v>5</v>
      </c>
      <c r="FC28" s="225"/>
      <c r="FD28" s="225"/>
      <c r="FE28" s="225"/>
      <c r="FF28" s="225"/>
      <c r="FG28" s="225"/>
      <c r="FH28" s="225"/>
      <c r="FI28" s="225"/>
      <c r="FJ28" s="213"/>
      <c r="FK28" s="213"/>
      <c r="FL28" s="213"/>
      <c r="FM28" s="213"/>
    </row>
    <row r="29" spans="1:169" ht="30" customHeight="1" x14ac:dyDescent="0.2">
      <c r="A29" s="557"/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557"/>
      <c r="Q29" s="557"/>
      <c r="R29" s="557"/>
      <c r="S29" s="557"/>
      <c r="T29" s="557"/>
      <c r="U29" s="557"/>
      <c r="V29" s="557"/>
      <c r="W29" s="557"/>
      <c r="X29" s="557"/>
      <c r="Y29" s="557"/>
      <c r="Z29" s="557"/>
      <c r="AA29" s="557"/>
      <c r="AU29" s="229"/>
      <c r="AV29" s="213"/>
      <c r="AW29" s="213"/>
      <c r="AX29" s="213"/>
      <c r="AY29" s="301"/>
      <c r="AZ29" s="301"/>
      <c r="BA29" s="301"/>
      <c r="BB29" s="301"/>
      <c r="BC29" s="301"/>
      <c r="BD29" s="229"/>
      <c r="BE29" s="226"/>
      <c r="BF29" s="226"/>
      <c r="BG29" s="226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5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18"/>
      <c r="DH29" s="225"/>
      <c r="DI29" s="226"/>
      <c r="DJ29" s="226"/>
      <c r="DK29" s="226"/>
      <c r="DL29" s="226"/>
      <c r="DM29" s="226"/>
      <c r="DN29" s="226"/>
      <c r="DO29" s="225"/>
      <c r="DP29" s="225"/>
      <c r="DQ29" s="226"/>
      <c r="DR29" s="226"/>
      <c r="DS29" s="226"/>
      <c r="DT29" s="226"/>
      <c r="DU29" s="226"/>
      <c r="DV29" s="226"/>
      <c r="DW29" s="218"/>
      <c r="DX29" s="225"/>
      <c r="DY29" s="225"/>
      <c r="DZ29" s="225"/>
      <c r="EA29" s="225"/>
      <c r="EB29" s="225"/>
      <c r="EC29" s="225"/>
      <c r="ED29" s="225"/>
      <c r="EE29" s="225">
        <f>SUM(DY29:ED29)</f>
        <v>0</v>
      </c>
      <c r="EF29" s="225"/>
      <c r="EG29" s="213"/>
      <c r="EH29" s="213"/>
      <c r="EI29" s="213"/>
      <c r="EJ29" s="213"/>
      <c r="EK29" s="213"/>
      <c r="EL29" s="213"/>
      <c r="EM29" s="218"/>
      <c r="EN29" s="225"/>
      <c r="EO29" s="225"/>
      <c r="EP29" s="225"/>
      <c r="EQ29" s="225"/>
      <c r="ER29" s="225"/>
      <c r="ES29" s="225"/>
      <c r="ET29" s="225"/>
      <c r="EU29" s="218"/>
      <c r="EV29" s="225"/>
      <c r="EW29" s="225"/>
      <c r="EX29" s="225"/>
      <c r="EY29" s="225"/>
      <c r="EZ29" s="225"/>
      <c r="FA29" s="225"/>
      <c r="FB29" s="225"/>
      <c r="FC29" s="218"/>
      <c r="FD29" s="225"/>
      <c r="FE29" s="225"/>
      <c r="FF29" s="225"/>
      <c r="FG29" s="225"/>
      <c r="FH29" s="225"/>
      <c r="FI29" s="225"/>
      <c r="FJ29" s="213"/>
      <c r="FK29" s="213"/>
      <c r="FL29" s="213"/>
      <c r="FM29" s="213"/>
    </row>
    <row r="30" spans="1:169" ht="30" customHeight="1" x14ac:dyDescent="0.2">
      <c r="A30" s="746" t="str">
        <f>$A$1</f>
        <v>Circuit Décathlon</v>
      </c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746"/>
      <c r="T30" s="746"/>
      <c r="U30" s="746"/>
      <c r="V30" s="746"/>
      <c r="W30" s="746"/>
      <c r="X30" s="746"/>
      <c r="Y30" s="746"/>
      <c r="Z30" s="746"/>
      <c r="AA30" s="746"/>
    </row>
    <row r="31" spans="1:169" ht="21.95" customHeight="1" x14ac:dyDescent="0.2">
      <c r="A31" s="746"/>
      <c r="B31" s="746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  <c r="O31" s="746"/>
      <c r="P31" s="746"/>
      <c r="Q31" s="746"/>
      <c r="R31" s="746"/>
      <c r="S31" s="746"/>
      <c r="T31" s="746"/>
      <c r="U31" s="746"/>
      <c r="V31" s="746"/>
      <c r="W31" s="746"/>
      <c r="X31" s="746"/>
      <c r="Y31" s="746"/>
      <c r="Z31" s="746"/>
      <c r="AA31" s="746"/>
      <c r="AC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</row>
    <row r="32" spans="1:169" ht="21.95" customHeight="1" x14ac:dyDescent="0.2">
      <c r="A32" s="427"/>
      <c r="B32" s="394"/>
      <c r="G32" s="394"/>
      <c r="H32" s="389"/>
      <c r="I32" s="390"/>
      <c r="J32" s="390"/>
      <c r="K32" s="390"/>
      <c r="L32" s="391"/>
      <c r="M32" s="390"/>
      <c r="N32" s="390"/>
      <c r="O32" s="392"/>
      <c r="P32" s="392"/>
      <c r="Q32" s="392"/>
      <c r="R32" s="392"/>
      <c r="S32" s="392"/>
      <c r="U32" s="389"/>
      <c r="V32" s="389"/>
      <c r="AA32" s="427"/>
      <c r="AC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</row>
    <row r="33" spans="1:169" ht="21.95" customHeight="1" x14ac:dyDescent="0.2">
      <c r="A33" s="394"/>
      <c r="B33" s="394"/>
      <c r="D33" s="394"/>
      <c r="E33" s="393" t="s">
        <v>6</v>
      </c>
      <c r="F33" s="680" t="str">
        <f>$F$4</f>
        <v>Parigné l'évêque</v>
      </c>
      <c r="G33" s="680"/>
      <c r="H33" s="680"/>
      <c r="I33" s="680"/>
      <c r="J33" s="680"/>
      <c r="K33" s="390"/>
      <c r="L33" s="390"/>
      <c r="M33" s="390"/>
      <c r="N33" s="392"/>
      <c r="O33" s="392"/>
      <c r="P33" s="392"/>
      <c r="Q33" s="392"/>
      <c r="R33" s="392"/>
      <c r="S33" s="393" t="s">
        <v>7</v>
      </c>
      <c r="T33" s="691">
        <f>$T$4</f>
        <v>43421</v>
      </c>
      <c r="U33" s="691"/>
      <c r="V33" s="691"/>
      <c r="W33" s="691"/>
      <c r="X33" s="691"/>
      <c r="Y33" s="691"/>
      <c r="Z33" s="395"/>
      <c r="AA33" s="390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</row>
    <row r="34" spans="1:169" ht="21.95" customHeight="1" x14ac:dyDescent="0.2">
      <c r="A34" s="394"/>
      <c r="B34" s="394"/>
      <c r="C34" s="394"/>
      <c r="D34" s="394"/>
      <c r="E34" s="394"/>
      <c r="F34" s="394"/>
      <c r="G34" s="390"/>
      <c r="H34" s="390"/>
      <c r="I34" s="390"/>
      <c r="J34" s="390"/>
      <c r="K34" s="390"/>
      <c r="L34" s="390"/>
      <c r="M34" s="390"/>
      <c r="N34" s="392"/>
      <c r="O34" s="392"/>
      <c r="P34" s="392"/>
      <c r="Q34" s="392"/>
      <c r="R34" s="392"/>
      <c r="S34" s="392"/>
      <c r="T34" s="392"/>
      <c r="U34" s="392"/>
      <c r="V34" s="390"/>
      <c r="Z34" s="390"/>
      <c r="AA34" s="390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</row>
    <row r="35" spans="1:169" ht="21.95" customHeight="1" x14ac:dyDescent="0.2">
      <c r="A35" s="427"/>
      <c r="B35" s="394"/>
      <c r="C35" s="394"/>
      <c r="D35" s="394"/>
      <c r="E35" s="393" t="s">
        <v>11</v>
      </c>
      <c r="F35" s="676" t="str">
        <f>F6</f>
        <v>FEM</v>
      </c>
      <c r="G35" s="676"/>
      <c r="H35" s="676"/>
      <c r="I35" s="676"/>
      <c r="J35" s="676"/>
      <c r="K35" s="676"/>
      <c r="L35" s="430" t="s">
        <v>2</v>
      </c>
      <c r="M35" s="558" t="s">
        <v>61</v>
      </c>
      <c r="O35" s="397" t="s">
        <v>188</v>
      </c>
      <c r="P35" s="394"/>
      <c r="Q35" s="558">
        <f>Rens!C10</f>
        <v>0</v>
      </c>
      <c r="R35" s="394"/>
      <c r="S35" s="394"/>
      <c r="T35" s="392"/>
      <c r="U35" s="397"/>
      <c r="V35" s="431" t="s">
        <v>140</v>
      </c>
      <c r="X35" s="559"/>
      <c r="Y35" s="693" t="str">
        <f>$Y$6</f>
        <v>2018-2019</v>
      </c>
      <c r="Z35" s="693"/>
      <c r="AA35" s="430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</row>
    <row r="36" spans="1:169" ht="21.95" customHeight="1" thickBot="1" x14ac:dyDescent="0.25">
      <c r="A36" s="394"/>
      <c r="B36" s="394"/>
      <c r="C36" s="394"/>
      <c r="D36" s="394"/>
      <c r="E36" s="394"/>
      <c r="F36" s="394"/>
      <c r="G36" s="394"/>
      <c r="H36" s="390"/>
      <c r="I36" s="390"/>
      <c r="J36" s="390"/>
      <c r="K36" s="390"/>
      <c r="L36" s="390"/>
      <c r="M36" s="390"/>
      <c r="N36" s="390"/>
      <c r="O36" s="392"/>
      <c r="P36" s="392"/>
      <c r="Q36" s="392"/>
      <c r="R36" s="392"/>
      <c r="S36" s="392"/>
      <c r="T36" s="392"/>
      <c r="U36" s="392"/>
      <c r="V36" s="392"/>
      <c r="W36" s="392"/>
      <c r="X36" s="390"/>
      <c r="Y36" s="390"/>
      <c r="Z36" s="390"/>
      <c r="AA36" s="390"/>
      <c r="AC36" s="213"/>
      <c r="AD36" s="213"/>
      <c r="AE36" s="214" t="s">
        <v>58</v>
      </c>
      <c r="AF36" s="215"/>
      <c r="AG36" s="215"/>
      <c r="AH36" s="215"/>
      <c r="AI36" s="216" t="s">
        <v>22</v>
      </c>
      <c r="AJ36" s="214" t="s">
        <v>5</v>
      </c>
      <c r="AK36" s="215"/>
      <c r="AL36" s="214" t="s">
        <v>23</v>
      </c>
      <c r="AM36" s="215"/>
      <c r="AN36" s="215"/>
      <c r="AO36" s="215"/>
      <c r="AP36" s="215"/>
      <c r="AQ36" s="215" t="str">
        <f>IF(AI36&lt;&gt;" ",AI36," ")</f>
        <v>IG1</v>
      </c>
      <c r="AR36" s="215"/>
      <c r="AS36" s="217"/>
      <c r="AT36" s="218"/>
      <c r="AU36" s="218"/>
      <c r="AV36" s="218"/>
      <c r="AW36" s="218"/>
      <c r="AX36" s="218"/>
      <c r="AY36" s="218" t="s">
        <v>5</v>
      </c>
      <c r="AZ36" s="218"/>
      <c r="BA36" s="218" t="s">
        <v>24</v>
      </c>
      <c r="BB36" s="218"/>
      <c r="BC36" s="218"/>
      <c r="BD36" s="218"/>
      <c r="BE36" s="218"/>
      <c r="BF36" s="218"/>
      <c r="BG36" s="218"/>
      <c r="BH36" s="219" t="s">
        <v>10</v>
      </c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3"/>
      <c r="FK36" s="213"/>
      <c r="FL36" s="213"/>
      <c r="FM36" s="213"/>
    </row>
    <row r="37" spans="1:169" ht="24.95" customHeight="1" thickBot="1" x14ac:dyDescent="0.25">
      <c r="A37" s="430"/>
      <c r="B37" s="430"/>
      <c r="C37" s="681" t="s">
        <v>8</v>
      </c>
      <c r="D37" s="682"/>
      <c r="E37" s="683"/>
      <c r="F37" s="681" t="s">
        <v>16</v>
      </c>
      <c r="G37" s="682"/>
      <c r="H37" s="683"/>
      <c r="I37" s="681" t="s">
        <v>20</v>
      </c>
      <c r="J37" s="682"/>
      <c r="K37" s="682"/>
      <c r="L37" s="682"/>
      <c r="M37" s="682"/>
      <c r="N37" s="683"/>
      <c r="O37" s="681" t="s">
        <v>4</v>
      </c>
      <c r="P37" s="683"/>
      <c r="Q37" s="681" t="s">
        <v>12</v>
      </c>
      <c r="R37" s="682"/>
      <c r="S37" s="682"/>
      <c r="T37" s="682"/>
      <c r="U37" s="682"/>
      <c r="V37" s="682"/>
      <c r="W37" s="682"/>
      <c r="X37" s="682"/>
      <c r="Y37" s="683"/>
      <c r="Z37" s="681" t="s">
        <v>194</v>
      </c>
      <c r="AA37" s="683"/>
      <c r="AC37" s="213"/>
      <c r="AD37" s="213"/>
      <c r="AE37" s="214" t="s">
        <v>5</v>
      </c>
      <c r="AF37" s="214"/>
      <c r="AG37" s="216" t="s">
        <v>14</v>
      </c>
      <c r="AH37" s="214"/>
      <c r="AI37" s="214"/>
      <c r="AJ37" s="214"/>
      <c r="AK37" s="214"/>
      <c r="AL37" s="214" t="s">
        <v>5</v>
      </c>
      <c r="AM37" s="214"/>
      <c r="AN37" s="215"/>
      <c r="AO37" s="215"/>
      <c r="AP37" s="215"/>
      <c r="AQ37" s="215"/>
      <c r="AR37" s="215"/>
      <c r="AS37" s="217"/>
      <c r="AT37" s="218"/>
      <c r="AU37" s="218"/>
      <c r="AV37" s="218"/>
      <c r="AW37" s="218"/>
      <c r="AX37" s="218"/>
      <c r="AY37" s="218" t="s">
        <v>10</v>
      </c>
      <c r="AZ37" s="218"/>
      <c r="BA37" s="218" t="s">
        <v>25</v>
      </c>
      <c r="BB37" s="219" t="s">
        <v>26</v>
      </c>
      <c r="BC37" s="219" t="s">
        <v>27</v>
      </c>
      <c r="BD37" s="219" t="s">
        <v>28</v>
      </c>
      <c r="BE37" s="219" t="s">
        <v>29</v>
      </c>
      <c r="BF37" s="218" t="s">
        <v>30</v>
      </c>
      <c r="BG37" s="218"/>
      <c r="BH37" s="219" t="s">
        <v>31</v>
      </c>
      <c r="BI37" s="218"/>
      <c r="BJ37" s="218"/>
      <c r="BK37" s="218" t="s">
        <v>32</v>
      </c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3"/>
      <c r="FK37" s="213"/>
      <c r="FL37" s="213"/>
      <c r="FM37" s="213"/>
    </row>
    <row r="38" spans="1:169" ht="24.95" customHeight="1" x14ac:dyDescent="0.2">
      <c r="A38" s="687">
        <v>1</v>
      </c>
      <c r="B38" s="718"/>
      <c r="C38" s="742">
        <f>liste!A12</f>
        <v>4</v>
      </c>
      <c r="D38" s="743"/>
      <c r="E38" s="744"/>
      <c r="F38" s="661">
        <f>IF(C38="","",VLOOKUP(C38,liste!$A$9:$G$145,7,FALSE))</f>
        <v>7222176</v>
      </c>
      <c r="G38" s="662" t="e">
        <f>IF(F38="","",VLOOKUP(F38,liste!$A$9:$G$145,7,FALSE))</f>
        <v>#N/A</v>
      </c>
      <c r="H38" s="663" t="e">
        <f>IF(G38="","",VLOOKUP(G38,liste!$A$9:$G$145,7,FALSE))</f>
        <v>#N/A</v>
      </c>
      <c r="I38" s="684" t="str">
        <f>IF(C38="","",VLOOKUP(C38,liste!$A$9:$G$145,2,FALSE))</f>
        <v>LE DANTEC Enola</v>
      </c>
      <c r="J38" s="685"/>
      <c r="K38" s="685"/>
      <c r="L38" s="685"/>
      <c r="M38" s="685"/>
      <c r="N38" s="686"/>
      <c r="O38" s="694">
        <f>IF(C38="","",VLOOKUP(C38,liste!$A$9:$G$145,4,FALSE))</f>
        <v>5</v>
      </c>
      <c r="P38" s="695" t="str">
        <f>IF(J38="","",VLOOKUP(J38,liste!$A$9:$G$145,4,FALSE))</f>
        <v/>
      </c>
      <c r="Q38" s="689" t="str">
        <f>IF(C38="","",VLOOKUP(C38,liste!$A$9:$G$145,3,FALSE))</f>
        <v>SPAY CP</v>
      </c>
      <c r="R38" s="696"/>
      <c r="S38" s="696"/>
      <c r="T38" s="696"/>
      <c r="U38" s="696"/>
      <c r="V38" s="696"/>
      <c r="W38" s="696"/>
      <c r="X38" s="696"/>
      <c r="Y38" s="690"/>
      <c r="Z38" s="689">
        <f>IF(C38="","",VLOOKUP(C38,liste!$A$9:$G$145,6,FALSE))</f>
        <v>500</v>
      </c>
      <c r="AA38" s="690" t="str">
        <f>IF(U38="","",VLOOKUP(U38,liste!$A$9:$G$145,4,FALSE))</f>
        <v/>
      </c>
      <c r="AB38" s="400" t="str">
        <f>"D"&amp;X52&amp;C38</f>
        <v>D4</v>
      </c>
      <c r="AC38" s="213"/>
      <c r="AD38" s="213"/>
      <c r="AE38" s="214" t="s">
        <v>33</v>
      </c>
      <c r="AF38" s="216">
        <v>1</v>
      </c>
      <c r="AG38" s="220">
        <f>C38</f>
        <v>4</v>
      </c>
      <c r="AH38" s="214" t="s">
        <v>5</v>
      </c>
      <c r="AI38" s="214" t="s">
        <v>5</v>
      </c>
      <c r="AJ38" s="214"/>
      <c r="AK38" s="214"/>
      <c r="AL38" s="214" t="s">
        <v>34</v>
      </c>
      <c r="AM38" s="214" t="e">
        <f>IF($BK$38=1,$AF$38,IF($BK$39=1,$AF$39,IF($BK$40=1,$AF$40,IF($BK$41=1,$AF$41,""))))</f>
        <v>#VALUE!</v>
      </c>
      <c r="AN38" s="215"/>
      <c r="AO38" s="221" t="e">
        <f>VLOOKUP(AM38,AF38:AG41,2)</f>
        <v>#VALUE!</v>
      </c>
      <c r="AP38" s="215"/>
      <c r="AQ38" s="215"/>
      <c r="AR38" s="215"/>
      <c r="AS38" s="217" t="s">
        <v>5</v>
      </c>
      <c r="AT38" s="218"/>
      <c r="AU38" s="218"/>
      <c r="AV38" s="222" t="e">
        <f>BH38</f>
        <v>#VALUE!</v>
      </c>
      <c r="AW38" s="218"/>
      <c r="AX38" s="218" t="s">
        <v>33</v>
      </c>
      <c r="AY38" s="218" t="e">
        <f>CF47</f>
        <v>#VALUE!</v>
      </c>
      <c r="AZ38" s="218"/>
      <c r="BA38" s="219" t="e">
        <f>IF(DE47&gt;0,CX47/DE47,IF(CX47&gt;0,CX47/1,0))</f>
        <v>#VALUE!</v>
      </c>
      <c r="BB38" s="219" t="e">
        <f>IF(DS47&gt;0,IF(BA38=0,0,DL47/DS47),IF(DL47&gt;0,DL47/1,0))</f>
        <v>#VALUE!</v>
      </c>
      <c r="BC38" s="218" t="e">
        <f>IF(BA38&lt;&gt;0,IF(EG47&gt;0,DZ47/EG47,0),0)</f>
        <v>#VALUE!</v>
      </c>
      <c r="BD38" s="218" t="s">
        <v>5</v>
      </c>
      <c r="BE38" s="219" t="e">
        <f>IF(EU47&gt;0,IF(BC38=0,0,EN47/EU47),IF(EN47&gt;0,EN47/1,0))</f>
        <v>#VALUE!</v>
      </c>
      <c r="BF38" s="219" t="e">
        <f>IF(BE38&lt;&gt;0,IF(FI47&gt;0,FB47/FI47,0),0)</f>
        <v>#VALUE!</v>
      </c>
      <c r="BG38" s="219" t="s">
        <v>33</v>
      </c>
      <c r="BH38" s="223" t="e">
        <f>AY38+BA38*0.01+BB38*0.0001+BC38*0.000001+BE38*0.00000001+BF38*0.0000000001</f>
        <v>#VALUE!</v>
      </c>
      <c r="BI38" s="218"/>
      <c r="BJ38" s="218"/>
      <c r="BK38" s="219" t="e">
        <f>RANK(BH38,BH38:BH44,)</f>
        <v>#VALUE!</v>
      </c>
      <c r="BL38" s="219"/>
      <c r="BM38" s="219"/>
      <c r="BN38" s="219"/>
      <c r="BO38" s="219" t="e">
        <f>IF(BH38=MIN(BH38:BH43),4,IF(BH38=MAX(BH38:BH43),1,0))</f>
        <v>#VALUE!</v>
      </c>
      <c r="BP38" s="219" t="e">
        <f>IF(BO38=0,BH38,0)</f>
        <v>#VALUE!</v>
      </c>
      <c r="BQ38" s="219" t="e">
        <f>IF(BP38&lt;&gt;0,IF(BP38=MAX(BP38:BP43),2,IF(BP38=MIN(BP38:BP43),3,0)),0)</f>
        <v>#VALUE!</v>
      </c>
      <c r="BR38" s="219" t="e">
        <f>IF(AND(BO38=0,BQ38=0),3,0)</f>
        <v>#VALUE!</v>
      </c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3"/>
      <c r="FK38" s="213"/>
      <c r="FL38" s="213"/>
      <c r="FM38" s="213"/>
    </row>
    <row r="39" spans="1:169" ht="24.95" customHeight="1" x14ac:dyDescent="0.2">
      <c r="A39" s="722">
        <v>2</v>
      </c>
      <c r="B39" s="745"/>
      <c r="C39" s="719">
        <f>liste!A13</f>
        <v>5</v>
      </c>
      <c r="D39" s="720"/>
      <c r="E39" s="721"/>
      <c r="F39" s="664">
        <f>IF(C39="","",VLOOKUP(C39,liste!$A$9:$G$145,7,FALSE))</f>
        <v>7221427</v>
      </c>
      <c r="G39" s="665" t="e">
        <f>IF(F39="","",VLOOKUP(F39,liste!$A$9:$G$145,7,FALSE))</f>
        <v>#N/A</v>
      </c>
      <c r="H39" s="666" t="e">
        <f>IF(G39="","",VLOOKUP(G39,liste!$A$9:$G$145,7,FALSE))</f>
        <v>#N/A</v>
      </c>
      <c r="I39" s="677" t="str">
        <f>IF(C39="","",VLOOKUP(C39,liste!$A$9:$G$145,2,FALSE))</f>
        <v>CHAUSSEE Léna</v>
      </c>
      <c r="J39" s="678"/>
      <c r="K39" s="678"/>
      <c r="L39" s="678"/>
      <c r="M39" s="678"/>
      <c r="N39" s="679"/>
      <c r="O39" s="711">
        <f>IF(C39="","",VLOOKUP(C39,liste!$A$9:$G$145,4,FALSE))</f>
        <v>5</v>
      </c>
      <c r="P39" s="712" t="str">
        <f>IF(J39="","",VLOOKUP(J39,liste!$A$9:$G$145,4,FALSE))</f>
        <v/>
      </c>
      <c r="Q39" s="708" t="str">
        <f>IF(C39="","",VLOOKUP(C39,liste!$A$9:$G$145,3,FALSE))</f>
        <v>BONNETABLE P</v>
      </c>
      <c r="R39" s="709"/>
      <c r="S39" s="709"/>
      <c r="T39" s="709"/>
      <c r="U39" s="709"/>
      <c r="V39" s="709"/>
      <c r="W39" s="709"/>
      <c r="X39" s="709"/>
      <c r="Y39" s="710"/>
      <c r="Z39" s="708">
        <f>IF(C39="","",VLOOKUP(C39,liste!$A$9:$G$145,6,FALSE))</f>
        <v>500</v>
      </c>
      <c r="AA39" s="710" t="str">
        <f>IF(U39="","",VLOOKUP(U39,liste!$A$9:$G$145,4,FALSE))</f>
        <v/>
      </c>
      <c r="AB39" s="400" t="str">
        <f>"D"&amp;Y52&amp;C39</f>
        <v>D5</v>
      </c>
      <c r="AC39" s="213"/>
      <c r="AD39" s="213"/>
      <c r="AE39" s="214" t="s">
        <v>35</v>
      </c>
      <c r="AF39" s="216">
        <v>2</v>
      </c>
      <c r="AG39" s="220">
        <f>C39</f>
        <v>5</v>
      </c>
      <c r="AH39" s="214" t="s">
        <v>5</v>
      </c>
      <c r="AI39" s="214" t="s">
        <v>5</v>
      </c>
      <c r="AJ39" s="214"/>
      <c r="AK39" s="214"/>
      <c r="AL39" s="214" t="s">
        <v>59</v>
      </c>
      <c r="AM39" s="214" t="e">
        <f>IF($BK$38=2,$AF$38,IF($BK$39=2,$AF$39,IF($BK$40=2,$AF$40,IF($BK$41=2,$AF$41,""))))</f>
        <v>#VALUE!</v>
      </c>
      <c r="AN39" s="215"/>
      <c r="AO39" s="221" t="e">
        <f>VLOOKUP(AM39,AF38:AG41,2)</f>
        <v>#VALUE!</v>
      </c>
      <c r="AP39" s="215"/>
      <c r="AQ39" s="215"/>
      <c r="AR39" s="215"/>
      <c r="AS39" s="217" t="s">
        <v>5</v>
      </c>
      <c r="AT39" s="218"/>
      <c r="AU39" s="218"/>
      <c r="AV39" s="222" t="e">
        <f>BH39</f>
        <v>#VALUE!</v>
      </c>
      <c r="AW39" s="218"/>
      <c r="AX39" s="218" t="s">
        <v>35</v>
      </c>
      <c r="AY39" s="218" t="e">
        <f>CF48</f>
        <v>#VALUE!</v>
      </c>
      <c r="AZ39" s="218"/>
      <c r="BA39" s="219" t="e">
        <f>IF(DE48&gt;0,CX48/DE48,IF(CX48&gt;0,CX48/1,0))</f>
        <v>#VALUE!</v>
      </c>
      <c r="BB39" s="219" t="e">
        <f>IF(DS48&gt;0,IF(BA39=0,0,DL48/DS48),IF(DL48&gt;0,DL48/1,0))</f>
        <v>#VALUE!</v>
      </c>
      <c r="BC39" s="218" t="e">
        <f>IF(BA39&lt;&gt;0,IF(EG48&gt;0,DZ48/EG48,0),0)</f>
        <v>#VALUE!</v>
      </c>
      <c r="BD39" s="218" t="s">
        <v>5</v>
      </c>
      <c r="BE39" s="219" t="e">
        <f>IF(EU48&gt;0,IF(BC39=0,0,EN48/EU48),IF(EN48&gt;0,EN48/1,0))</f>
        <v>#VALUE!</v>
      </c>
      <c r="BF39" s="219" t="e">
        <f>IF(BE39&lt;&gt;0,IF(FI48&gt;0,FB48/FI48,0),0)</f>
        <v>#VALUE!</v>
      </c>
      <c r="BG39" s="219" t="s">
        <v>35</v>
      </c>
      <c r="BH39" s="223" t="e">
        <f>AY39+BA39*0.01+BB39*0.0001+BC39*0.000001+BE39*0.00000001+BF39*0.0000000001</f>
        <v>#VALUE!</v>
      </c>
      <c r="BI39" s="218"/>
      <c r="BJ39" s="218"/>
      <c r="BK39" s="219" t="e">
        <f>RANK(BH39,BH38:BH44,)</f>
        <v>#VALUE!</v>
      </c>
      <c r="BL39" s="219"/>
      <c r="BM39" s="219"/>
      <c r="BN39" s="219"/>
      <c r="BO39" s="219" t="e">
        <f>IF(BH39=MIN(BH38:BH43),4,IF(BH39=MAX(BH38:BH43),1,0))</f>
        <v>#VALUE!</v>
      </c>
      <c r="BP39" s="219" t="e">
        <f>IF(BO39=0,BH39,0)</f>
        <v>#VALUE!</v>
      </c>
      <c r="BQ39" s="219" t="e">
        <f>IF(BP39&lt;&gt;0,IF(BP39=MAX(BP38:BP43),2,IF(BP39=MIN(BP38:BP43),3,0)),0)</f>
        <v>#VALUE!</v>
      </c>
      <c r="BR39" s="219" t="e">
        <f>IF(AND(BO39=0,BQ39=0),3,0)</f>
        <v>#VALUE!</v>
      </c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3"/>
      <c r="FK39" s="213"/>
      <c r="FL39" s="213"/>
      <c r="FM39" s="213"/>
    </row>
    <row r="40" spans="1:169" ht="24.95" customHeight="1" x14ac:dyDescent="0.2">
      <c r="A40" s="722">
        <v>3</v>
      </c>
      <c r="B40" s="745"/>
      <c r="C40" s="719">
        <f>liste!A20</f>
        <v>12</v>
      </c>
      <c r="D40" s="720"/>
      <c r="E40" s="721"/>
      <c r="F40" s="664">
        <f>IF(C40="","",VLOOKUP(C40,liste!$A$9:$G$145,7,FALSE))</f>
        <v>0</v>
      </c>
      <c r="G40" s="665" t="e">
        <f>IF(F40="","",VLOOKUP(F40,liste!$A$9:$G$145,7,FALSE))</f>
        <v>#N/A</v>
      </c>
      <c r="H40" s="666" t="e">
        <f>IF(G40="","",VLOOKUP(G40,liste!$A$9:$G$145,7,FALSE))</f>
        <v>#N/A</v>
      </c>
      <c r="I40" s="677">
        <f>IF(C40="","",VLOOKUP(C40,liste!$A$9:$G$145,2,FALSE))</f>
        <v>0</v>
      </c>
      <c r="J40" s="678"/>
      <c r="K40" s="678"/>
      <c r="L40" s="678"/>
      <c r="M40" s="678"/>
      <c r="N40" s="679"/>
      <c r="O40" s="711">
        <f>IF(C40="","",VLOOKUP(C40,liste!$A$9:$G$145,4,FALSE))</f>
        <v>0</v>
      </c>
      <c r="P40" s="712" t="str">
        <f>IF(J40="","",VLOOKUP(J40,liste!$A$9:$G$145,4,FALSE))</f>
        <v/>
      </c>
      <c r="Q40" s="708">
        <f>IF(C40="","",VLOOKUP(C40,liste!$A$9:$G$145,3,FALSE))</f>
        <v>0</v>
      </c>
      <c r="R40" s="709"/>
      <c r="S40" s="709"/>
      <c r="T40" s="709"/>
      <c r="U40" s="709"/>
      <c r="V40" s="709"/>
      <c r="W40" s="709"/>
      <c r="X40" s="709"/>
      <c r="Y40" s="710"/>
      <c r="Z40" s="708">
        <f>IF(C40="","",VLOOKUP(C40,liste!$A$9:$G$145,6,FALSE))</f>
        <v>0</v>
      </c>
      <c r="AA40" s="710" t="str">
        <f>IF(U40="","",VLOOKUP(U40,liste!$A$9:$G$145,4,FALSE))</f>
        <v/>
      </c>
      <c r="AB40" s="400" t="str">
        <f>"D"&amp;Z52&amp;C40</f>
        <v>D12</v>
      </c>
      <c r="AC40" s="213"/>
      <c r="AD40" s="213"/>
      <c r="AE40" s="214" t="s">
        <v>36</v>
      </c>
      <c r="AF40" s="216">
        <v>3</v>
      </c>
      <c r="AG40" s="220">
        <f>C40</f>
        <v>12</v>
      </c>
      <c r="AH40" s="214" t="s">
        <v>5</v>
      </c>
      <c r="AI40" s="214" t="s">
        <v>5</v>
      </c>
      <c r="AJ40" s="214"/>
      <c r="AK40" s="214"/>
      <c r="AL40" s="214" t="s">
        <v>60</v>
      </c>
      <c r="AM40" s="214" t="e">
        <f>IF($BK$38=3,$AF$38,IF($BK$39=3,$AF$39,IF($BK$40=3,$AF$40,IF($BK$41=3,$AF$41,""))))</f>
        <v>#VALUE!</v>
      </c>
      <c r="AN40" s="215"/>
      <c r="AO40" s="221" t="e">
        <f>VLOOKUP(AM40,AF38:AG41,2)</f>
        <v>#VALUE!</v>
      </c>
      <c r="AP40" s="215"/>
      <c r="AQ40" s="215"/>
      <c r="AR40" s="215"/>
      <c r="AS40" s="217" t="s">
        <v>5</v>
      </c>
      <c r="AT40" s="218"/>
      <c r="AU40" s="218"/>
      <c r="AV40" s="222" t="e">
        <f>BH40</f>
        <v>#VALUE!</v>
      </c>
      <c r="AW40" s="218"/>
      <c r="AX40" s="218" t="s">
        <v>36</v>
      </c>
      <c r="AY40" s="218" t="e">
        <f>CF49</f>
        <v>#VALUE!</v>
      </c>
      <c r="AZ40" s="218"/>
      <c r="BA40" s="219" t="e">
        <f>IF(DE49&gt;0,CX49/DE49,IF(CX49&gt;0,CX49/1,0))</f>
        <v>#VALUE!</v>
      </c>
      <c r="BB40" s="219" t="e">
        <f>IF(DS49&gt;0,IF(BA40=0,0,DL49/DS49),IF(DL49&gt;0,DL49/1,0))</f>
        <v>#VALUE!</v>
      </c>
      <c r="BC40" s="218" t="e">
        <f>IF(BA40&lt;&gt;0,IF(EG49&gt;0,DZ49/EG49,0),0)</f>
        <v>#VALUE!</v>
      </c>
      <c r="BD40" s="218" t="s">
        <v>5</v>
      </c>
      <c r="BE40" s="219" t="e">
        <f>IF(EU49&gt;0,IF(BC40=0,0,EN49/EU49),IF(EN49&gt;0,EN49/1,0))</f>
        <v>#VALUE!</v>
      </c>
      <c r="BF40" s="219" t="e">
        <f>IF(BE40&lt;&gt;0,IF(FI49&gt;0,FB49/FI49,0),0)</f>
        <v>#VALUE!</v>
      </c>
      <c r="BG40" s="219" t="s">
        <v>36</v>
      </c>
      <c r="BH40" s="223" t="e">
        <f>AY40+BA40*0.01+BB40*0.0001+BC40*0.000001+BE40*0.00000001+BF40*0.0000000001</f>
        <v>#VALUE!</v>
      </c>
      <c r="BI40" s="218"/>
      <c r="BJ40" s="218"/>
      <c r="BK40" s="219" t="e">
        <f>RANK(BH40,BH38:BH44,)</f>
        <v>#VALUE!</v>
      </c>
      <c r="BL40" s="219"/>
      <c r="BM40" s="219"/>
      <c r="BN40" s="219"/>
      <c r="BO40" s="219" t="e">
        <f>IF(BH40=MIN(BH38:BH43),4,IF(BH40=MAX(BH38:BH43),1,0))</f>
        <v>#VALUE!</v>
      </c>
      <c r="BP40" s="219" t="e">
        <f>IF(BO40=0,BH40,0)</f>
        <v>#VALUE!</v>
      </c>
      <c r="BQ40" s="219" t="e">
        <f>IF(BP40&lt;&gt;0,IF(BP40=MAX(BP38:BP43),2,IF(BP40=MIN(BP38:BP43),3,0)),0)</f>
        <v>#VALUE!</v>
      </c>
      <c r="BR40" s="219" t="e">
        <f>IF(AND(BO40=0,BQ40=0),3,0)</f>
        <v>#VALUE!</v>
      </c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3"/>
      <c r="FK40" s="213"/>
      <c r="FL40" s="213"/>
      <c r="FM40" s="213"/>
    </row>
    <row r="41" spans="1:169" ht="24.95" customHeight="1" thickBot="1" x14ac:dyDescent="0.25">
      <c r="A41" s="724">
        <v>4</v>
      </c>
      <c r="B41" s="741"/>
      <c r="C41" s="736">
        <f>liste!A21</f>
        <v>13</v>
      </c>
      <c r="D41" s="737"/>
      <c r="E41" s="738"/>
      <c r="F41" s="658">
        <f>IF(C41="","",VLOOKUP(C41,liste!$A$9:$G$145,7,FALSE))</f>
        <v>0</v>
      </c>
      <c r="G41" s="659" t="e">
        <f>IF(F41="","",VLOOKUP(F41,liste!$A$9:$G$145,7,FALSE))</f>
        <v>#N/A</v>
      </c>
      <c r="H41" s="660" t="e">
        <f>IF(G41="","",VLOOKUP(G41,liste!$A$9:$G$145,7,FALSE))</f>
        <v>#N/A</v>
      </c>
      <c r="I41" s="703">
        <f>IF(C41="","",VLOOKUP(C41,liste!$A$9:$G$145,2,FALSE))</f>
        <v>0</v>
      </c>
      <c r="J41" s="704"/>
      <c r="K41" s="704"/>
      <c r="L41" s="704"/>
      <c r="M41" s="704"/>
      <c r="N41" s="705"/>
      <c r="O41" s="697">
        <f>IF(C41="","",VLOOKUP(C41,liste!$A$9:$G$145,4,FALSE))</f>
        <v>0</v>
      </c>
      <c r="P41" s="698" t="str">
        <f>IF(J41="","",VLOOKUP(J41,liste!$A$9:$G$145,4,FALSE))</f>
        <v/>
      </c>
      <c r="Q41" s="713">
        <f>IF(C41="","",VLOOKUP(C41,liste!$A$9:$G$145,3,FALSE))</f>
        <v>0</v>
      </c>
      <c r="R41" s="714"/>
      <c r="S41" s="714"/>
      <c r="T41" s="714"/>
      <c r="U41" s="714"/>
      <c r="V41" s="714"/>
      <c r="W41" s="714"/>
      <c r="X41" s="714"/>
      <c r="Y41" s="715"/>
      <c r="Z41" s="713">
        <f>IF(C41="","",VLOOKUP(C41,liste!$A$9:$G$145,6,FALSE))</f>
        <v>0</v>
      </c>
      <c r="AA41" s="715" t="str">
        <f>IF(U41="","",VLOOKUP(U41,liste!$A$9:$G$145,4,FALSE))</f>
        <v/>
      </c>
      <c r="AB41" s="400" t="str">
        <f>"D"&amp;AA52&amp;C41</f>
        <v>D13</v>
      </c>
      <c r="AC41" s="213"/>
      <c r="AD41" s="213"/>
      <c r="AE41" s="214" t="s">
        <v>61</v>
      </c>
      <c r="AF41" s="216">
        <v>4</v>
      </c>
      <c r="AG41" s="220">
        <f>C41</f>
        <v>13</v>
      </c>
      <c r="AH41" s="214" t="s">
        <v>5</v>
      </c>
      <c r="AI41" s="214" t="s">
        <v>5</v>
      </c>
      <c r="AJ41" s="214"/>
      <c r="AK41" s="214"/>
      <c r="AL41" s="214" t="s">
        <v>62</v>
      </c>
      <c r="AM41" s="214" t="e">
        <f>IF($BK$38=4,$AF$38,IF($BK$39=4,$AF$39,IF($BK$40=4,$AF$40,IF($BK$41=4,$AF$41,""))))</f>
        <v>#VALUE!</v>
      </c>
      <c r="AN41" s="215"/>
      <c r="AO41" s="221" t="e">
        <f>VLOOKUP(AM41,AF38:AG41,2)</f>
        <v>#VALUE!</v>
      </c>
      <c r="AP41" s="215"/>
      <c r="AQ41" s="215"/>
      <c r="AR41" s="215"/>
      <c r="AS41" s="217" t="s">
        <v>5</v>
      </c>
      <c r="AT41" s="224"/>
      <c r="AU41" s="218"/>
      <c r="AV41" s="222" t="e">
        <f>BH41</f>
        <v>#VALUE!</v>
      </c>
      <c r="AW41" s="218"/>
      <c r="AX41" s="218" t="s">
        <v>61</v>
      </c>
      <c r="AY41" s="218" t="e">
        <f>CF50</f>
        <v>#VALUE!</v>
      </c>
      <c r="AZ41" s="218"/>
      <c r="BA41" s="219" t="e">
        <f>IF(DE50&gt;0,CX50/DE50,IF(CX50&gt;0,CX50/1,0))</f>
        <v>#VALUE!</v>
      </c>
      <c r="BB41" s="219" t="e">
        <f>IF(DS50&gt;0,IF(BA41=0,0,DL50/DS50),IF(DL50&gt;0,DL50/1,0))</f>
        <v>#VALUE!</v>
      </c>
      <c r="BC41" s="218" t="e">
        <f>IF(BA41&lt;&gt;0,IF(EG50&gt;0,DZ50/EG50,0),0)</f>
        <v>#VALUE!</v>
      </c>
      <c r="BD41" s="218" t="s">
        <v>5</v>
      </c>
      <c r="BE41" s="219" t="e">
        <f>IF(EU50&gt;0,IF(BC41=0,0,EN50/EU50),IF(EN50&gt;0,EN50/1,0))</f>
        <v>#VALUE!</v>
      </c>
      <c r="BF41" s="218" t="e">
        <f>IF(BE41&lt;&gt;0,IF(FI50&gt;0,FB50/FI50,0),0)</f>
        <v>#VALUE!</v>
      </c>
      <c r="BG41" s="219" t="s">
        <v>61</v>
      </c>
      <c r="BH41" s="223" t="e">
        <f>AY41+BA41*0.01+BB41*0.0001+BC41*0.000001+BE41*0.00000001+BF41*0.0000000001</f>
        <v>#VALUE!</v>
      </c>
      <c r="BI41" s="218"/>
      <c r="BJ41" s="218"/>
      <c r="BK41" s="219" t="e">
        <f>RANK(BH41,BH38:BH44,)</f>
        <v>#VALUE!</v>
      </c>
      <c r="BL41" s="219"/>
      <c r="BM41" s="219"/>
      <c r="BN41" s="219"/>
      <c r="BO41" s="219" t="e">
        <f>IF(BH41=MIN(BH38:BH43),4,IF(BH41=MAX(BH38:BH43),1,0))</f>
        <v>#VALUE!</v>
      </c>
      <c r="BP41" s="219" t="e">
        <f>IF(BO41=0,BH41,0)</f>
        <v>#VALUE!</v>
      </c>
      <c r="BQ41" s="219" t="e">
        <f>IF(BP41&lt;&gt;0,IF(BP41=MAX(BP38:BP43),2,IF(BP41=MIN(BP38:BP43),3,0)),0)</f>
        <v>#VALUE!</v>
      </c>
      <c r="BR41" s="219" t="e">
        <f>IF(AND(BO41=0,BQ41=0),3,0)</f>
        <v>#VALUE!</v>
      </c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3"/>
      <c r="FK41" s="213"/>
      <c r="FL41" s="213"/>
      <c r="FM41" s="213"/>
    </row>
    <row r="42" spans="1:169" ht="21.95" customHeight="1" thickBot="1" x14ac:dyDescent="0.25">
      <c r="A42" s="394"/>
      <c r="B42" s="394"/>
      <c r="C42" s="394"/>
      <c r="D42" s="394"/>
      <c r="E42" s="394"/>
      <c r="F42" s="394"/>
      <c r="G42" s="394"/>
      <c r="H42" s="390"/>
      <c r="I42" s="390"/>
      <c r="J42" s="390"/>
      <c r="K42" s="390"/>
      <c r="L42" s="390"/>
      <c r="M42" s="390"/>
      <c r="N42" s="390"/>
      <c r="O42" s="392"/>
      <c r="P42" s="392"/>
      <c r="Q42" s="392"/>
      <c r="R42" s="392"/>
      <c r="S42" s="392"/>
      <c r="T42" s="392"/>
      <c r="U42" s="392"/>
      <c r="V42" s="392"/>
      <c r="W42" s="392"/>
      <c r="X42" s="401"/>
      <c r="Y42" s="401"/>
      <c r="Z42" s="401"/>
      <c r="AA42" s="401"/>
      <c r="AC42" s="213"/>
      <c r="AD42" s="213"/>
      <c r="AE42" s="215"/>
      <c r="AF42" s="221"/>
      <c r="AG42" s="215"/>
      <c r="AH42" s="215"/>
      <c r="AI42" s="215"/>
      <c r="AJ42" s="215"/>
      <c r="AK42" s="215"/>
      <c r="AL42" s="215"/>
      <c r="AM42" s="215"/>
      <c r="AN42" s="215"/>
      <c r="AO42" s="221"/>
      <c r="AP42" s="215"/>
      <c r="AQ42" s="215"/>
      <c r="AR42" s="215"/>
      <c r="AS42" s="218"/>
      <c r="AT42" s="218"/>
      <c r="AU42" s="218"/>
      <c r="AV42" s="218"/>
      <c r="AW42" s="218"/>
      <c r="AX42" s="218"/>
      <c r="AY42" s="218"/>
      <c r="AZ42" s="218"/>
      <c r="BA42" s="219"/>
      <c r="BB42" s="219"/>
      <c r="BC42" s="218"/>
      <c r="BD42" s="218"/>
      <c r="BE42" s="219"/>
      <c r="BF42" s="218"/>
      <c r="BG42" s="219"/>
      <c r="BH42" s="223"/>
      <c r="BI42" s="218"/>
      <c r="BJ42" s="218"/>
      <c r="BK42" s="219"/>
      <c r="BL42" s="219"/>
      <c r="BM42" s="219"/>
      <c r="BN42" s="219"/>
      <c r="BO42" s="219"/>
      <c r="BP42" s="219"/>
      <c r="BQ42" s="219"/>
      <c r="BR42" s="219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3"/>
      <c r="FK42" s="213"/>
      <c r="FL42" s="213"/>
      <c r="FM42" s="213"/>
    </row>
    <row r="43" spans="1:169" ht="21.95" customHeight="1" thickBot="1" x14ac:dyDescent="0.25">
      <c r="A43" s="394"/>
      <c r="B43" s="394"/>
      <c r="C43" s="394"/>
      <c r="D43" s="394"/>
      <c r="E43" s="394"/>
      <c r="F43" s="394"/>
      <c r="G43" s="394"/>
      <c r="H43" s="390"/>
      <c r="I43" s="390"/>
      <c r="J43" s="390"/>
      <c r="K43" s="390"/>
      <c r="L43" s="390"/>
      <c r="M43" s="390"/>
      <c r="N43" s="390"/>
      <c r="O43" s="392"/>
      <c r="P43" s="392"/>
      <c r="Q43" s="392"/>
      <c r="R43" s="749" t="s">
        <v>19</v>
      </c>
      <c r="S43" s="750"/>
      <c r="T43" s="750"/>
      <c r="U43" s="750"/>
      <c r="V43" s="750"/>
      <c r="W43" s="402"/>
      <c r="X43" s="681" t="s">
        <v>10</v>
      </c>
      <c r="Y43" s="682"/>
      <c r="Z43" s="682"/>
      <c r="AA43" s="683"/>
      <c r="AC43" s="213"/>
      <c r="AD43" s="213"/>
      <c r="AE43" s="225"/>
      <c r="AF43" s="226"/>
      <c r="AG43" s="225"/>
      <c r="AH43" s="225"/>
      <c r="AI43" s="225"/>
      <c r="AJ43" s="225"/>
      <c r="AK43" s="225"/>
      <c r="AL43" s="225"/>
      <c r="AM43" s="225"/>
      <c r="AN43" s="225"/>
      <c r="AO43" s="226"/>
      <c r="AP43" s="225"/>
      <c r="AQ43" s="225"/>
      <c r="AR43" s="225"/>
      <c r="AS43" s="218"/>
      <c r="AT43" s="218"/>
      <c r="AU43" s="218"/>
      <c r="AV43" s="218"/>
      <c r="AW43" s="218"/>
      <c r="AX43" s="218"/>
      <c r="AY43" s="218"/>
      <c r="AZ43" s="218"/>
      <c r="BA43" s="219"/>
      <c r="BB43" s="219"/>
      <c r="BC43" s="218"/>
      <c r="BD43" s="218"/>
      <c r="BE43" s="218"/>
      <c r="BF43" s="218"/>
      <c r="BG43" s="219"/>
      <c r="BH43" s="223"/>
      <c r="BI43" s="218"/>
      <c r="BJ43" s="218"/>
      <c r="BK43" s="219"/>
      <c r="BL43" s="219"/>
      <c r="BM43" s="219"/>
      <c r="BN43" s="219"/>
      <c r="BO43" s="219"/>
      <c r="BP43" s="219"/>
      <c r="BQ43" s="219"/>
      <c r="BR43" s="219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3"/>
      <c r="FK43" s="213"/>
      <c r="FL43" s="213"/>
      <c r="FM43" s="213"/>
    </row>
    <row r="44" spans="1:169" ht="21.95" customHeight="1" thickBot="1" x14ac:dyDescent="0.25">
      <c r="A44" s="403"/>
      <c r="B44" s="403"/>
      <c r="C44" s="403"/>
      <c r="D44" s="403"/>
      <c r="E44" s="404" t="s">
        <v>154</v>
      </c>
      <c r="F44" s="448" t="s">
        <v>142</v>
      </c>
      <c r="G44" s="403"/>
      <c r="H44" s="401"/>
      <c r="I44" s="401"/>
      <c r="J44" s="401"/>
      <c r="K44" s="401"/>
      <c r="L44" s="401"/>
      <c r="M44" s="401"/>
      <c r="N44" s="401"/>
      <c r="O44" s="406"/>
      <c r="P44" s="406"/>
      <c r="Q44" s="406"/>
      <c r="R44" s="407">
        <v>1</v>
      </c>
      <c r="S44" s="408">
        <v>2</v>
      </c>
      <c r="T44" s="408">
        <v>3</v>
      </c>
      <c r="U44" s="409">
        <v>4</v>
      </c>
      <c r="V44" s="410">
        <v>5</v>
      </c>
      <c r="W44" s="402"/>
      <c r="X44" s="411">
        <v>1</v>
      </c>
      <c r="Y44" s="412">
        <v>2</v>
      </c>
      <c r="Z44" s="412">
        <v>3</v>
      </c>
      <c r="AA44" s="536">
        <v>4</v>
      </c>
      <c r="AC44" s="213"/>
      <c r="AD44" s="213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9"/>
      <c r="BL44" s="219"/>
      <c r="BM44" s="219"/>
      <c r="BN44" s="219"/>
      <c r="BO44" s="219"/>
      <c r="BP44" s="219"/>
      <c r="BQ44" s="219"/>
      <c r="BR44" s="219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3"/>
      <c r="FK44" s="213"/>
      <c r="FL44" s="213"/>
      <c r="FM44" s="213"/>
    </row>
    <row r="45" spans="1:169" ht="24.95" customHeight="1" x14ac:dyDescent="0.2">
      <c r="A45" s="540">
        <v>1</v>
      </c>
      <c r="B45" s="413" t="s">
        <v>13</v>
      </c>
      <c r="C45" s="414">
        <v>4</v>
      </c>
      <c r="D45" s="415" t="str">
        <f>Rens!F4</f>
        <v>Sa</v>
      </c>
      <c r="E45" s="416">
        <f>Rens!B10</f>
        <v>0</v>
      </c>
      <c r="F45" s="417">
        <f>Rens!C10</f>
        <v>0</v>
      </c>
      <c r="G45" s="671" t="str">
        <f t="shared" ref="G45:G50" si="24" xml:space="preserve"> VLOOKUP(A45,$A$38:$O$41,9)</f>
        <v>LE DANTEC Enola</v>
      </c>
      <c r="H45" s="672"/>
      <c r="I45" s="672"/>
      <c r="J45" s="672"/>
      <c r="K45" s="672"/>
      <c r="L45" s="418" t="s">
        <v>9</v>
      </c>
      <c r="M45" s="672">
        <f t="shared" ref="M45:M50" si="25" xml:space="preserve"> VLOOKUP(C45,$A$38:$O$41,9)</f>
        <v>0</v>
      </c>
      <c r="N45" s="672"/>
      <c r="O45" s="672"/>
      <c r="P45" s="672"/>
      <c r="Q45" s="675"/>
      <c r="R45" s="319"/>
      <c r="S45" s="320"/>
      <c r="T45" s="320"/>
      <c r="U45" s="207"/>
      <c r="V45" s="207"/>
      <c r="W45" s="516"/>
      <c r="X45" s="520" t="str">
        <f>IF(AND(COUNTIF(($R45:$V45),"&gt;0")&gt;=2),1,IF(AND(COUNTIF(($R45:$V45),"&lt;0")&gt;=2),0,blanc))</f>
        <v xml:space="preserve"> </v>
      </c>
      <c r="Y45" s="419"/>
      <c r="Z45" s="419"/>
      <c r="AA45" s="521" t="str">
        <f>IF(AND(X45=0),1,IF(AND(X45=1),0,blanc))</f>
        <v xml:space="preserve"> </v>
      </c>
      <c r="AC45" s="213"/>
      <c r="AD45" s="213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>
        <f>BH45</f>
        <v>0</v>
      </c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 t="s">
        <v>41</v>
      </c>
      <c r="CT45" s="218"/>
      <c r="CU45" s="218"/>
      <c r="CV45" s="218"/>
      <c r="CW45" s="218"/>
      <c r="CX45" s="218"/>
      <c r="CY45" s="218"/>
      <c r="CZ45" s="218" t="s">
        <v>42</v>
      </c>
      <c r="DA45" s="218"/>
      <c r="DB45" s="218"/>
      <c r="DC45" s="218"/>
      <c r="DD45" s="218"/>
      <c r="DE45" s="213"/>
      <c r="DF45" s="218"/>
      <c r="DG45" s="218" t="s">
        <v>54</v>
      </c>
      <c r="DH45" s="218"/>
      <c r="DI45" s="218"/>
      <c r="DJ45" s="218"/>
      <c r="DK45" s="218"/>
      <c r="DL45" s="218"/>
      <c r="DM45" s="218"/>
      <c r="DN45" s="218" t="s">
        <v>55</v>
      </c>
      <c r="DO45" s="218"/>
      <c r="DP45" s="218"/>
      <c r="DQ45" s="218"/>
      <c r="DR45" s="218"/>
      <c r="DS45" s="218"/>
      <c r="DT45" s="218"/>
      <c r="DU45" s="218" t="s">
        <v>43</v>
      </c>
      <c r="DV45" s="218"/>
      <c r="DW45" s="218"/>
      <c r="DX45" s="218"/>
      <c r="DY45" s="218"/>
      <c r="DZ45" s="218"/>
      <c r="EA45" s="218"/>
      <c r="EB45" s="218" t="s">
        <v>44</v>
      </c>
      <c r="EC45" s="218"/>
      <c r="ED45" s="218"/>
      <c r="EE45" s="218"/>
      <c r="EF45" s="218"/>
      <c r="EG45" s="218"/>
      <c r="EH45" s="218"/>
      <c r="EI45" s="218" t="s">
        <v>56</v>
      </c>
      <c r="EJ45" s="218"/>
      <c r="EK45" s="218"/>
      <c r="EL45" s="218"/>
      <c r="EM45" s="218"/>
      <c r="EN45" s="218"/>
      <c r="EO45" s="218"/>
      <c r="EP45" s="218" t="s">
        <v>57</v>
      </c>
      <c r="EQ45" s="218"/>
      <c r="ER45" s="218"/>
      <c r="ES45" s="218"/>
      <c r="ET45" s="218"/>
      <c r="EU45" s="218"/>
      <c r="EV45" s="218"/>
      <c r="EW45" s="218" t="s">
        <v>45</v>
      </c>
      <c r="EX45" s="218"/>
      <c r="EY45" s="218"/>
      <c r="EZ45" s="218"/>
      <c r="FA45" s="218"/>
      <c r="FB45" s="218"/>
      <c r="FC45" s="218"/>
      <c r="FD45" s="218" t="s">
        <v>46</v>
      </c>
      <c r="FE45" s="218"/>
      <c r="FF45" s="218"/>
      <c r="FG45" s="218"/>
      <c r="FH45" s="218"/>
      <c r="FI45" s="218"/>
      <c r="FJ45" s="213"/>
      <c r="FK45" s="213"/>
      <c r="FL45" s="213"/>
      <c r="FM45" s="213"/>
    </row>
    <row r="46" spans="1:169" ht="24.95" customHeight="1" thickBot="1" x14ac:dyDescent="0.25">
      <c r="A46" s="541">
        <v>2</v>
      </c>
      <c r="B46" s="420" t="s">
        <v>13</v>
      </c>
      <c r="C46" s="421">
        <v>3</v>
      </c>
      <c r="D46" s="422"/>
      <c r="E46" s="423">
        <f>E45+0.014</f>
        <v>1.4E-2</v>
      </c>
      <c r="F46" s="424">
        <f>F45</f>
        <v>0</v>
      </c>
      <c r="G46" s="673" t="str">
        <f t="shared" si="24"/>
        <v>CHAUSSEE Léna</v>
      </c>
      <c r="H46" s="667"/>
      <c r="I46" s="667"/>
      <c r="J46" s="667"/>
      <c r="K46" s="667"/>
      <c r="L46" s="425" t="s">
        <v>9</v>
      </c>
      <c r="M46" s="667">
        <f t="shared" si="25"/>
        <v>0</v>
      </c>
      <c r="N46" s="667"/>
      <c r="O46" s="667"/>
      <c r="P46" s="667"/>
      <c r="Q46" s="668"/>
      <c r="R46" s="208"/>
      <c r="S46" s="209"/>
      <c r="T46" s="209"/>
      <c r="U46" s="210"/>
      <c r="V46" s="210"/>
      <c r="W46" s="516"/>
      <c r="X46" s="522"/>
      <c r="Y46" s="518" t="str">
        <f>IF(AND(COUNTIF(($R46:$V46),"&gt;0")&gt;=2),1,IF(AND(COUNTIF(($R46:$V46),"&lt;0")&gt;=2),0,blanc))</f>
        <v xml:space="preserve"> </v>
      </c>
      <c r="Z46" s="518" t="str">
        <f>IF(AND(Y46=0),1,IF(AND(Y46=1),0,blanc))</f>
        <v xml:space="preserve"> </v>
      </c>
      <c r="AA46" s="523"/>
      <c r="AC46" s="213"/>
      <c r="AD46" s="213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 t="s">
        <v>33</v>
      </c>
      <c r="BV46" s="218" t="s">
        <v>5</v>
      </c>
      <c r="BW46" s="218" t="s">
        <v>35</v>
      </c>
      <c r="BX46" s="218"/>
      <c r="BY46" s="218" t="s">
        <v>36</v>
      </c>
      <c r="BZ46" s="218"/>
      <c r="CA46" s="218" t="s">
        <v>61</v>
      </c>
      <c r="CB46" s="218"/>
      <c r="CC46" s="218"/>
      <c r="CD46" s="218"/>
      <c r="CE46" s="218"/>
      <c r="CF46" s="227" t="s">
        <v>52</v>
      </c>
      <c r="CG46" s="227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28" t="s">
        <v>33</v>
      </c>
      <c r="CT46" s="219" t="s">
        <v>35</v>
      </c>
      <c r="CU46" s="219" t="s">
        <v>36</v>
      </c>
      <c r="CV46" s="219" t="s">
        <v>61</v>
      </c>
      <c r="CW46" s="219"/>
      <c r="CX46" s="229"/>
      <c r="CY46" s="218"/>
      <c r="CZ46" s="228" t="s">
        <v>33</v>
      </c>
      <c r="DA46" s="219" t="s">
        <v>35</v>
      </c>
      <c r="DB46" s="219" t="s">
        <v>36</v>
      </c>
      <c r="DC46" s="219" t="s">
        <v>61</v>
      </c>
      <c r="DD46" s="219"/>
      <c r="DE46" s="213"/>
      <c r="DF46" s="218"/>
      <c r="DG46" s="228" t="s">
        <v>33</v>
      </c>
      <c r="DH46" s="219" t="s">
        <v>35</v>
      </c>
      <c r="DI46" s="219" t="s">
        <v>36</v>
      </c>
      <c r="DJ46" s="219" t="s">
        <v>61</v>
      </c>
      <c r="DK46" s="219"/>
      <c r="DL46" s="229"/>
      <c r="DM46" s="218"/>
      <c r="DN46" s="228" t="s">
        <v>33</v>
      </c>
      <c r="DO46" s="219" t="s">
        <v>35</v>
      </c>
      <c r="DP46" s="219" t="s">
        <v>36</v>
      </c>
      <c r="DQ46" s="219" t="s">
        <v>61</v>
      </c>
      <c r="DR46" s="219"/>
      <c r="DS46" s="226"/>
      <c r="DT46" s="213"/>
      <c r="DU46" s="228" t="s">
        <v>33</v>
      </c>
      <c r="DV46" s="219" t="s">
        <v>35</v>
      </c>
      <c r="DW46" s="219" t="s">
        <v>36</v>
      </c>
      <c r="DX46" s="219" t="s">
        <v>61</v>
      </c>
      <c r="DY46" s="219"/>
      <c r="DZ46" s="226"/>
      <c r="EA46" s="213"/>
      <c r="EB46" s="228" t="s">
        <v>33</v>
      </c>
      <c r="EC46" s="219" t="s">
        <v>35</v>
      </c>
      <c r="ED46" s="219" t="s">
        <v>36</v>
      </c>
      <c r="EE46" s="219" t="s">
        <v>61</v>
      </c>
      <c r="EF46" s="219"/>
      <c r="EG46" s="229"/>
      <c r="EH46" s="213"/>
      <c r="EI46" s="228" t="s">
        <v>33</v>
      </c>
      <c r="EJ46" s="219" t="s">
        <v>35</v>
      </c>
      <c r="EK46" s="219" t="s">
        <v>36</v>
      </c>
      <c r="EL46" s="219" t="s">
        <v>61</v>
      </c>
      <c r="EM46" s="219"/>
      <c r="EN46" s="229"/>
      <c r="EO46" s="213"/>
      <c r="EP46" s="228" t="s">
        <v>33</v>
      </c>
      <c r="EQ46" s="219" t="s">
        <v>35</v>
      </c>
      <c r="ER46" s="219" t="s">
        <v>36</v>
      </c>
      <c r="ES46" s="219" t="s">
        <v>61</v>
      </c>
      <c r="ET46" s="219"/>
      <c r="EU46" s="219"/>
      <c r="EV46" s="213"/>
      <c r="EW46" s="228" t="s">
        <v>33</v>
      </c>
      <c r="EX46" s="219" t="s">
        <v>35</v>
      </c>
      <c r="EY46" s="219" t="s">
        <v>36</v>
      </c>
      <c r="EZ46" s="219" t="s">
        <v>61</v>
      </c>
      <c r="FA46" s="219"/>
      <c r="FB46" s="219"/>
      <c r="FC46" s="213"/>
      <c r="FD46" s="228" t="s">
        <v>33</v>
      </c>
      <c r="FE46" s="219" t="s">
        <v>35</v>
      </c>
      <c r="FF46" s="219" t="s">
        <v>36</v>
      </c>
      <c r="FG46" s="219" t="s">
        <v>61</v>
      </c>
      <c r="FH46" s="219"/>
      <c r="FI46" s="229"/>
      <c r="FJ46" s="213"/>
      <c r="FK46" s="213"/>
      <c r="FL46" s="213"/>
      <c r="FM46" s="213"/>
    </row>
    <row r="47" spans="1:169" ht="24.95" customHeight="1" thickTop="1" x14ac:dyDescent="0.2">
      <c r="A47" s="541">
        <v>1</v>
      </c>
      <c r="B47" s="420" t="s">
        <v>13</v>
      </c>
      <c r="C47" s="421">
        <v>3</v>
      </c>
      <c r="D47" s="422" t="s">
        <v>21</v>
      </c>
      <c r="E47" s="423">
        <f>E46+0.014</f>
        <v>2.8000000000000001E-2</v>
      </c>
      <c r="F47" s="424">
        <f>F45</f>
        <v>0</v>
      </c>
      <c r="G47" s="673" t="str">
        <f t="shared" si="24"/>
        <v>LE DANTEC Enola</v>
      </c>
      <c r="H47" s="667"/>
      <c r="I47" s="667"/>
      <c r="J47" s="667"/>
      <c r="K47" s="667"/>
      <c r="L47" s="425" t="s">
        <v>9</v>
      </c>
      <c r="M47" s="667">
        <f t="shared" si="25"/>
        <v>0</v>
      </c>
      <c r="N47" s="667"/>
      <c r="O47" s="667"/>
      <c r="P47" s="667"/>
      <c r="Q47" s="668"/>
      <c r="R47" s="211"/>
      <c r="S47" s="210"/>
      <c r="T47" s="210"/>
      <c r="U47" s="210"/>
      <c r="V47" s="210"/>
      <c r="W47" s="516"/>
      <c r="X47" s="524" t="str">
        <f>IF(AND(COUNTIF(($R47:$V47),"&gt;0")&gt;=2),1,IF(AND(COUNTIF(($R47:$V47),"&lt;0")&gt;=2),0,blanc))</f>
        <v xml:space="preserve"> </v>
      </c>
      <c r="Y47" s="426"/>
      <c r="Z47" s="518" t="str">
        <f>IF(AND(X47=0),1,IF(AND(X47=1),0,blanc))</f>
        <v xml:space="preserve"> </v>
      </c>
      <c r="AA47" s="523"/>
      <c r="AC47" s="230" t="s">
        <v>37</v>
      </c>
      <c r="AD47" s="231" t="str">
        <f>AI36</f>
        <v>IG1</v>
      </c>
      <c r="AE47" s="232"/>
      <c r="AF47" s="233" t="s">
        <v>63</v>
      </c>
      <c r="AG47" s="234"/>
      <c r="AH47" s="233" t="s">
        <v>64</v>
      </c>
      <c r="AI47" s="234"/>
      <c r="AJ47" s="233" t="s">
        <v>65</v>
      </c>
      <c r="AK47" s="234"/>
      <c r="AL47" s="233" t="s">
        <v>66</v>
      </c>
      <c r="AM47" s="235"/>
      <c r="AN47" s="233" t="s">
        <v>67</v>
      </c>
      <c r="AO47" s="236"/>
      <c r="AP47" s="237" t="s">
        <v>38</v>
      </c>
      <c r="AQ47" s="238"/>
      <c r="AR47" s="238"/>
      <c r="AS47" s="238"/>
      <c r="AT47" s="239"/>
      <c r="AU47" s="240"/>
      <c r="AV47" s="213"/>
      <c r="AW47" s="213"/>
      <c r="AX47" s="213"/>
      <c r="AY47" s="241" t="s">
        <v>38</v>
      </c>
      <c r="AZ47" s="232"/>
      <c r="BA47" s="232"/>
      <c r="BB47" s="232"/>
      <c r="BC47" s="242" t="s">
        <v>68</v>
      </c>
      <c r="BD47" s="232"/>
      <c r="BE47" s="232"/>
      <c r="BF47" s="232"/>
      <c r="BG47" s="232"/>
      <c r="BH47" s="232"/>
      <c r="BI47" s="232"/>
      <c r="BJ47" s="232"/>
      <c r="BK47" s="232"/>
      <c r="BL47" s="242" t="s">
        <v>39</v>
      </c>
      <c r="BM47" s="242" t="s">
        <v>40</v>
      </c>
      <c r="BN47" s="242"/>
      <c r="BO47" s="243"/>
      <c r="BQ47" s="200"/>
      <c r="BR47" s="225"/>
      <c r="BS47" s="214" t="str">
        <f>AE38</f>
        <v>A</v>
      </c>
      <c r="BT47" s="244"/>
      <c r="BU47" s="244"/>
      <c r="BV47" s="214" t="str">
        <f>BH53</f>
        <v>M</v>
      </c>
      <c r="BW47" s="214" t="e">
        <f>BL53</f>
        <v>#VALUE!</v>
      </c>
      <c r="BX47" s="214" t="str">
        <f>BH51</f>
        <v>M</v>
      </c>
      <c r="BY47" s="214" t="e">
        <f>BL51</f>
        <v>#VALUE!</v>
      </c>
      <c r="BZ47" s="214" t="str">
        <f>BH49</f>
        <v>M</v>
      </c>
      <c r="CA47" s="245" t="e">
        <f>BL49</f>
        <v>#VALUE!</v>
      </c>
      <c r="CB47" s="225"/>
      <c r="CC47" s="225"/>
      <c r="CD47" s="246"/>
      <c r="CE47" s="246"/>
      <c r="CF47" s="226" t="e">
        <f t="shared" ref="CF47:CF53" si="26">SUM(CH47:CL47)</f>
        <v>#VALUE!</v>
      </c>
      <c r="CG47" s="219" t="e">
        <f t="shared" ref="CG47:CG53" si="27">SUM(CM47:CQ47)</f>
        <v>#VALUE!</v>
      </c>
      <c r="CH47" s="214" t="e">
        <f>IF(BV47&gt;BW47,1,0)</f>
        <v>#VALUE!</v>
      </c>
      <c r="CI47" s="214" t="e">
        <f>IF(BX47&gt;BY47,1,0)</f>
        <v>#VALUE!</v>
      </c>
      <c r="CJ47" s="214" t="e">
        <f>IF(BZ47&gt;CA47,1,0)</f>
        <v>#VALUE!</v>
      </c>
      <c r="CK47" s="214">
        <f>IF(CB47&gt;CC47,1,0)</f>
        <v>0</v>
      </c>
      <c r="CL47" s="214">
        <f>IF(CD47&gt;CE47,1,0)</f>
        <v>0</v>
      </c>
      <c r="CM47" s="247" t="e">
        <f>IF(BV47&lt;BW47,1,0)</f>
        <v>#VALUE!</v>
      </c>
      <c r="CN47" s="214" t="e">
        <f>IF(BX47&lt;BY47,1,0)</f>
        <v>#VALUE!</v>
      </c>
      <c r="CO47" s="214" t="e">
        <f>IF(BZ47&lt;CA47,1,0)</f>
        <v>#VALUE!</v>
      </c>
      <c r="CP47" s="214">
        <f>IF(CB47&lt;CC47,1,0)</f>
        <v>0</v>
      </c>
      <c r="CQ47" s="214">
        <f>IF(CD47&lt;CE47,1,0)</f>
        <v>0</v>
      </c>
      <c r="CR47" s="214" t="s">
        <v>33</v>
      </c>
      <c r="CS47" s="248" t="s">
        <v>53</v>
      </c>
      <c r="CT47" s="216" t="e">
        <f>IF(CF47=CF48,AY53,"xxx")</f>
        <v>#VALUE!</v>
      </c>
      <c r="CU47" s="216" t="e">
        <f>IF(CF47=CF49,AY51,"xxx")</f>
        <v>#VALUE!</v>
      </c>
      <c r="CV47" s="216" t="e">
        <f>IF(CF47=CF50,AY49,"xxx")</f>
        <v>#VALUE!</v>
      </c>
      <c r="CW47" s="249"/>
      <c r="CX47" s="226" t="e">
        <f>SUM(CS47:CW47)</f>
        <v>#VALUE!</v>
      </c>
      <c r="CY47" s="214" t="s">
        <v>33</v>
      </c>
      <c r="CZ47" s="248" t="s">
        <v>53</v>
      </c>
      <c r="DA47" s="216" t="e">
        <f>IF(CF47=CF48,AZ53,"xxx")</f>
        <v>#VALUE!</v>
      </c>
      <c r="DB47" s="216" t="e">
        <f>IF(CF47=CF49,BA51,"xxx")</f>
        <v>#VALUE!</v>
      </c>
      <c r="DC47" s="216" t="e">
        <f>IF(CF47=CF50,BB49,"xxx")</f>
        <v>#VALUE!</v>
      </c>
      <c r="DD47" s="249"/>
      <c r="DE47" s="226" t="e">
        <f>SUM(CZ47:DD47)</f>
        <v>#VALUE!</v>
      </c>
      <c r="DF47" s="214" t="s">
        <v>33</v>
      </c>
      <c r="DG47" s="248" t="s">
        <v>53</v>
      </c>
      <c r="DH47" s="216" t="e">
        <f>IF(AND(BA38&lt;&gt;0,AY38=AY39),IF(BA38=BA39,AY53,"xxx"),"xxx")</f>
        <v>#VALUE!</v>
      </c>
      <c r="DI47" s="216" t="e">
        <f>IF(AND(BA38&lt;&gt;0,AY38=AY40),IF(BA38=BA40,AY51,"xxx"),"xxx")</f>
        <v>#VALUE!</v>
      </c>
      <c r="DJ47" s="216" t="e">
        <f>IF(AND(BA38&lt;&gt;0,AY38=AY41),IF(BA38=BA41,AY49,"xxx"),"xxx")</f>
        <v>#VALUE!</v>
      </c>
      <c r="DK47" s="249"/>
      <c r="DL47" s="226" t="e">
        <f>SUM(DG47:DK47)</f>
        <v>#VALUE!</v>
      </c>
      <c r="DM47" s="214" t="s">
        <v>33</v>
      </c>
      <c r="DN47" s="248" t="s">
        <v>53</v>
      </c>
      <c r="DO47" s="216" t="e">
        <f>IF(AND(BA38&lt;&gt;0,AY38=AY39),IF(BA38=BA39,AZ53,"xxx"),"xxx")</f>
        <v>#VALUE!</v>
      </c>
      <c r="DP47" s="216" t="e">
        <f>IF(AND(BA38&lt;&gt;0,AY38=AY40),IF(BA38=BA40,BA51,"xxx"),"xxx")</f>
        <v>#VALUE!</v>
      </c>
      <c r="DQ47" s="216" t="e">
        <f>IF(AND(BA38&lt;&gt;0,AY38=AY41),IF(BA38=BA41,BB49,"xxx"),"xxx")</f>
        <v>#VALUE!</v>
      </c>
      <c r="DR47" s="249"/>
      <c r="DS47" s="226" t="e">
        <f>SUM(DN47:DR47)</f>
        <v>#VALUE!</v>
      </c>
      <c r="DT47" s="214" t="s">
        <v>33</v>
      </c>
      <c r="DU47" s="248" t="s">
        <v>53</v>
      </c>
      <c r="DV47" s="216" t="e">
        <f>IF(AND(CF47=CF48,BA38=BA39),BH53,"kkk")</f>
        <v>#VALUE!</v>
      </c>
      <c r="DW47" s="216" t="e">
        <f>IF(AND(CF47=CF49,BA38=BA40),BH51,"kkk")</f>
        <v>#VALUE!</v>
      </c>
      <c r="DX47" s="216" t="e">
        <f>IF(AND(CF47=CF50,BA38=BA41),BH49,"kkk")</f>
        <v>#VALUE!</v>
      </c>
      <c r="DY47" s="249"/>
      <c r="DZ47" s="226" t="e">
        <f>SUM(DU47:DY47)</f>
        <v>#VALUE!</v>
      </c>
      <c r="EA47" s="214" t="s">
        <v>33</v>
      </c>
      <c r="EB47" s="248" t="s">
        <v>53</v>
      </c>
      <c r="EC47" s="216" t="e">
        <f>IF(AND(CF47=CF48,BA38=BA39),BL53,"kkk")</f>
        <v>#VALUE!</v>
      </c>
      <c r="ED47" s="216" t="e">
        <f>IF(AND(CF47=CF49,BA38=BA40),BL51,"kkk")</f>
        <v>#VALUE!</v>
      </c>
      <c r="EE47" s="216" t="e">
        <f>IF(AND(CF47=CF50,BA38=BA41),BL49,"kkk")</f>
        <v>#VALUE!</v>
      </c>
      <c r="EF47" s="249"/>
      <c r="EG47" s="226" t="e">
        <f>SUM(EB47:EF47)</f>
        <v>#VALUE!</v>
      </c>
      <c r="EH47" s="214" t="s">
        <v>33</v>
      </c>
      <c r="EI47" s="248" t="s">
        <v>53</v>
      </c>
      <c r="EJ47" s="216" t="e">
        <f>IF(BD38&lt;&gt;"ùùù",IF(AND(CF47=CF48,BD38=BD39),BH53,"kkk"),"kkk")</f>
        <v>#VALUE!</v>
      </c>
      <c r="EK47" s="216" t="e">
        <f>IF(BD38&lt;&gt;"ùùù",IF(AND(CF47=CF49,BD38=BD40),BH51,"kkk"),"kkk")</f>
        <v>#VALUE!</v>
      </c>
      <c r="EL47" s="216" t="e">
        <f>IF(BD38&lt;&gt;"ùùù",IF(AND(CF47=CF50,BD38=BD41),BH49,"kkk"),"kkk")</f>
        <v>#VALUE!</v>
      </c>
      <c r="EM47" s="249"/>
      <c r="EN47" s="226" t="e">
        <f>SUM(EI47:EM47)</f>
        <v>#VALUE!</v>
      </c>
      <c r="EO47" s="214" t="s">
        <v>33</v>
      </c>
      <c r="EP47" s="248" t="s">
        <v>53</v>
      </c>
      <c r="EQ47" s="216" t="e">
        <f>IF(BD38&lt;&gt;"ùùù",IF(AND(CF47=CF48,BD38=BD39),BL53,"kkk"),"kkk")</f>
        <v>#VALUE!</v>
      </c>
      <c r="ER47" s="216" t="e">
        <f>IF(BD38&lt;&gt;"ùùù",IF(AND(CF47=CF49,BD38=BD40),BL51,"kkk"),"kkk")</f>
        <v>#VALUE!</v>
      </c>
      <c r="ES47" s="216" t="e">
        <f>IF(BD38&lt;&gt;"ùùù",IF(AND(CF47=CF50,BD38=BD41),BL49,"kkk"),"kkk")</f>
        <v>#VALUE!</v>
      </c>
      <c r="ET47" s="249"/>
      <c r="EU47" s="226" t="e">
        <f>SUM(EP47:ET47)</f>
        <v>#VALUE!</v>
      </c>
      <c r="EV47" s="214" t="s">
        <v>33</v>
      </c>
      <c r="EW47" s="248" t="s">
        <v>53</v>
      </c>
      <c r="EX47" s="216" t="e">
        <f>IF(AND(CF47=CF48,BC38=BC39),+AF53+AH53+AJ53+AL53+AN53,"xxx")</f>
        <v>#VALUE!</v>
      </c>
      <c r="EY47" s="216" t="e">
        <f>IF(AND(CF47=CF49,BC38=BC40),+AF51+AH51+AJ51+AL51+AN51,"xxx")</f>
        <v>#VALUE!</v>
      </c>
      <c r="EZ47" s="216" t="e">
        <f>IF(AND(CF47=CF50,BC38=BC41),+AF49+AH49+AJ49+AL49+AN49,"xxx")</f>
        <v>#VALUE!</v>
      </c>
      <c r="FA47" s="249"/>
      <c r="FB47" s="226" t="e">
        <f>SUM(EW47:FA47)</f>
        <v>#VALUE!</v>
      </c>
      <c r="FC47" s="214" t="s">
        <v>33</v>
      </c>
      <c r="FD47" s="248" t="s">
        <v>53</v>
      </c>
      <c r="FE47" s="216" t="e">
        <f>IF(AND(CF47=CF48,BC38=BC39),+AG53+AI53+AK53+AM53+AO53,"xxx")</f>
        <v>#VALUE!</v>
      </c>
      <c r="FF47" s="216" t="e">
        <f>IF(AND(CF47=CF49,BC38=BC40),+AG51+AI51+AK51+AM51+AO51,"xxx")</f>
        <v>#VALUE!</v>
      </c>
      <c r="FG47" s="216" t="e">
        <f>IF(AND(CF47=CF50,BC38=BC41),+AG49+AI49+AK49+AM49+AO49,"xxx")</f>
        <v>#VALUE!</v>
      </c>
      <c r="FH47" s="249"/>
      <c r="FI47" s="226" t="e">
        <f>SUM(FD47:FH47)</f>
        <v>#VALUE!</v>
      </c>
      <c r="FJ47" s="213"/>
      <c r="FK47" s="213"/>
      <c r="FL47" s="213"/>
      <c r="FM47" s="213"/>
    </row>
    <row r="48" spans="1:169" ht="24.95" customHeight="1" x14ac:dyDescent="0.2">
      <c r="A48" s="541">
        <v>2</v>
      </c>
      <c r="B48" s="420" t="s">
        <v>13</v>
      </c>
      <c r="C48" s="421">
        <v>4</v>
      </c>
      <c r="D48" s="422"/>
      <c r="E48" s="423">
        <f>E47+0.014</f>
        <v>4.2000000000000003E-2</v>
      </c>
      <c r="F48" s="424">
        <f>F45</f>
        <v>0</v>
      </c>
      <c r="G48" s="673" t="str">
        <f t="shared" si="24"/>
        <v>CHAUSSEE Léna</v>
      </c>
      <c r="H48" s="667"/>
      <c r="I48" s="667"/>
      <c r="J48" s="667"/>
      <c r="K48" s="667"/>
      <c r="L48" s="425" t="s">
        <v>9</v>
      </c>
      <c r="M48" s="667">
        <f t="shared" si="25"/>
        <v>0</v>
      </c>
      <c r="N48" s="667"/>
      <c r="O48" s="667"/>
      <c r="P48" s="667"/>
      <c r="Q48" s="668"/>
      <c r="R48" s="321"/>
      <c r="S48" s="322"/>
      <c r="T48" s="322"/>
      <c r="U48" s="210"/>
      <c r="V48" s="210"/>
      <c r="W48" s="516"/>
      <c r="X48" s="522"/>
      <c r="Y48" s="518" t="str">
        <f>IF(AND(COUNTIF(($R48:$V48),"&gt;0")&gt;=2),1,IF(AND(COUNTIF(($R48:$V48),"&lt;0")&gt;=2),0,blanc))</f>
        <v xml:space="preserve"> </v>
      </c>
      <c r="Z48" s="426"/>
      <c r="AA48" s="525" t="str">
        <f>IF(AND(Y48=0),1,IF(AND(Y48=1),0,blanc))</f>
        <v xml:space="preserve"> </v>
      </c>
      <c r="AC48" s="747" t="s">
        <v>47</v>
      </c>
      <c r="AD48" s="748"/>
      <c r="AE48" s="323" t="s">
        <v>48</v>
      </c>
      <c r="AF48" s="324" t="s">
        <v>49</v>
      </c>
      <c r="AG48" s="216" t="s">
        <v>50</v>
      </c>
      <c r="AH48" s="216" t="s">
        <v>49</v>
      </c>
      <c r="AI48" s="216" t="s">
        <v>50</v>
      </c>
      <c r="AJ48" s="216" t="s">
        <v>49</v>
      </c>
      <c r="AK48" s="216" t="s">
        <v>50</v>
      </c>
      <c r="AL48" s="216" t="s">
        <v>49</v>
      </c>
      <c r="AM48" s="216" t="s">
        <v>50</v>
      </c>
      <c r="AN48" s="216" t="s">
        <v>49</v>
      </c>
      <c r="AO48" s="216" t="s">
        <v>50</v>
      </c>
      <c r="AP48" s="254" t="s">
        <v>33</v>
      </c>
      <c r="AQ48" s="216" t="s">
        <v>35</v>
      </c>
      <c r="AR48" s="216" t="s">
        <v>36</v>
      </c>
      <c r="AS48" s="216" t="s">
        <v>61</v>
      </c>
      <c r="AT48" s="255"/>
      <c r="AU48" s="229"/>
      <c r="AV48" s="224"/>
      <c r="AW48" s="224"/>
      <c r="AX48" s="224"/>
      <c r="AY48" s="256" t="s">
        <v>33</v>
      </c>
      <c r="AZ48" s="216" t="s">
        <v>35</v>
      </c>
      <c r="BA48" s="216" t="s">
        <v>36</v>
      </c>
      <c r="BB48" s="216" t="s">
        <v>61</v>
      </c>
      <c r="BC48" s="216">
        <v>1</v>
      </c>
      <c r="BD48" s="216">
        <v>2</v>
      </c>
      <c r="BE48" s="216">
        <v>3</v>
      </c>
      <c r="BF48" s="216">
        <v>4</v>
      </c>
      <c r="BG48" s="216">
        <v>5</v>
      </c>
      <c r="BH48" s="216" t="s">
        <v>40</v>
      </c>
      <c r="BI48" s="216" t="s">
        <v>51</v>
      </c>
      <c r="BJ48" s="216"/>
      <c r="BK48" s="216"/>
      <c r="BL48" s="216" t="s">
        <v>69</v>
      </c>
      <c r="BM48" s="216" t="s">
        <v>40</v>
      </c>
      <c r="BN48" s="216"/>
      <c r="BO48" s="257"/>
      <c r="BQ48" s="200"/>
      <c r="BR48" s="225"/>
      <c r="BS48" s="214" t="str">
        <f>AE39</f>
        <v>B</v>
      </c>
      <c r="BT48" s="214" t="e">
        <f>BW47</f>
        <v>#VALUE!</v>
      </c>
      <c r="BU48" s="214" t="str">
        <f>BV47</f>
        <v>M</v>
      </c>
      <c r="BV48" s="244"/>
      <c r="BW48" s="244"/>
      <c r="BX48" s="214" t="str">
        <f>BH50</f>
        <v>M</v>
      </c>
      <c r="BY48" s="214" t="e">
        <f>BL50</f>
        <v>#VALUE!</v>
      </c>
      <c r="BZ48" s="214" t="str">
        <f>BH52</f>
        <v>M</v>
      </c>
      <c r="CA48" s="245" t="e">
        <f>BL52</f>
        <v>#VALUE!</v>
      </c>
      <c r="CB48" s="225"/>
      <c r="CC48" s="225"/>
      <c r="CD48" s="246"/>
      <c r="CE48" s="246"/>
      <c r="CF48" s="226" t="e">
        <f t="shared" si="26"/>
        <v>#VALUE!</v>
      </c>
      <c r="CG48" s="219" t="e">
        <f t="shared" si="27"/>
        <v>#VALUE!</v>
      </c>
      <c r="CH48" s="214" t="e">
        <f>IF(BT48&gt;BU48,1,0)</f>
        <v>#VALUE!</v>
      </c>
      <c r="CI48" s="214" t="e">
        <f>IF(BX48&gt;BY48,1,0)</f>
        <v>#VALUE!</v>
      </c>
      <c r="CJ48" s="214" t="e">
        <f>IF(BZ48&gt;CA48,1,0)</f>
        <v>#VALUE!</v>
      </c>
      <c r="CK48" s="214">
        <f>IF(CB48&gt;CC48,1,0)</f>
        <v>0</v>
      </c>
      <c r="CL48" s="214">
        <f>IF(CD48&gt;CE48,1,0)</f>
        <v>0</v>
      </c>
      <c r="CM48" s="247" t="e">
        <f>IF(BT48&lt;BU48,1,0)</f>
        <v>#VALUE!</v>
      </c>
      <c r="CN48" s="214" t="e">
        <f>IF(BX48&lt;BY48,1,0)</f>
        <v>#VALUE!</v>
      </c>
      <c r="CO48" s="214" t="e">
        <f>IF(BZ48&lt;CA48,1,0)</f>
        <v>#VALUE!</v>
      </c>
      <c r="CP48" s="214">
        <f>IF(CB48&lt;CC48,1,0)</f>
        <v>0</v>
      </c>
      <c r="CQ48" s="214">
        <f>IF(CD48&lt;CE48,1,0)</f>
        <v>0</v>
      </c>
      <c r="CR48" s="214" t="s">
        <v>35</v>
      </c>
      <c r="CS48" s="216" t="e">
        <f>IF(CF48=CF47,AZ53,"xxx")</f>
        <v>#VALUE!</v>
      </c>
      <c r="CT48" s="248" t="s">
        <v>53</v>
      </c>
      <c r="CU48" s="216" t="e">
        <f>IF(CF48=CF49,AZ50,"xxx")</f>
        <v>#VALUE!</v>
      </c>
      <c r="CV48" s="216" t="e">
        <f>IF(CF48=CF50,AZ52,"xxx")</f>
        <v>#VALUE!</v>
      </c>
      <c r="CW48" s="249"/>
      <c r="CX48" s="226" t="e">
        <f>SUM(CS48:CW48)</f>
        <v>#VALUE!</v>
      </c>
      <c r="CY48" s="214" t="s">
        <v>35</v>
      </c>
      <c r="CZ48" s="216" t="e">
        <f>IF(CF48=CF47,AY53,"xxx")</f>
        <v>#VALUE!</v>
      </c>
      <c r="DA48" s="248" t="s">
        <v>53</v>
      </c>
      <c r="DB48" s="216" t="e">
        <f>IF(CF48=CF49,BA50,"xxx")</f>
        <v>#VALUE!</v>
      </c>
      <c r="DC48" s="216" t="e">
        <f>IF(CF48=CF50,BB52,"xxx")</f>
        <v>#VALUE!</v>
      </c>
      <c r="DD48" s="249"/>
      <c r="DE48" s="226" t="e">
        <f>SUM(CZ48:DD48)</f>
        <v>#VALUE!</v>
      </c>
      <c r="DF48" s="214" t="s">
        <v>35</v>
      </c>
      <c r="DG48" s="216" t="e">
        <f>IF(AND(BA39&lt;&gt;0,AY39=AY38),IF(BA39=BA38,AZ53,"xxx"),"xxx")</f>
        <v>#VALUE!</v>
      </c>
      <c r="DH48" s="248" t="s">
        <v>53</v>
      </c>
      <c r="DI48" s="216" t="e">
        <f>IF(AND(BA39&lt;&gt;0,AY39=AY40),IF(BA39=BA40,AZ50,"xxx"),"xxx")</f>
        <v>#VALUE!</v>
      </c>
      <c r="DJ48" s="216" t="e">
        <f>IF(AND(BA39&lt;&gt;0,AY39=AY41),IF(BA39=BA41,AZ52,"xxx"),"xxx")</f>
        <v>#VALUE!</v>
      </c>
      <c r="DK48" s="249"/>
      <c r="DL48" s="226" t="e">
        <f>SUM(DG48:DK48)</f>
        <v>#VALUE!</v>
      </c>
      <c r="DM48" s="214" t="s">
        <v>35</v>
      </c>
      <c r="DN48" s="216" t="e">
        <f>IF(AND(BA39&lt;&gt;0,AY39=AY38),IF(BA39=BA38,AY53,"xxx"),"xxx")</f>
        <v>#VALUE!</v>
      </c>
      <c r="DO48" s="248" t="s">
        <v>53</v>
      </c>
      <c r="DP48" s="216" t="e">
        <f>IF(AND(BA39&lt;&gt;0,AY39=AY40),IF(BA39=BA40,BA50,"xxx"),"xxx")</f>
        <v>#VALUE!</v>
      </c>
      <c r="DQ48" s="216" t="e">
        <f>IF(AND(BA39&lt;&gt;0,AY39=AY41),IF(BA39=BA41,BB52,"xxx"),"xxx")</f>
        <v>#VALUE!</v>
      </c>
      <c r="DR48" s="249"/>
      <c r="DS48" s="226" t="e">
        <f>SUM(DN48:DR48)</f>
        <v>#VALUE!</v>
      </c>
      <c r="DT48" s="214" t="s">
        <v>35</v>
      </c>
      <c r="DU48" s="216" t="e">
        <f>IF(AND(CF48=CF47,BA39=BA38),BL53,"kkk")</f>
        <v>#VALUE!</v>
      </c>
      <c r="DV48" s="248" t="s">
        <v>53</v>
      </c>
      <c r="DW48" s="216" t="e">
        <f>IF(AND(CF48=CF49,BA39=BA40),BH50,"kkk")</f>
        <v>#VALUE!</v>
      </c>
      <c r="DX48" s="216" t="e">
        <f>IF(AND(CF48=CF50,BA39=BA41),BH52,"kkk")</f>
        <v>#VALUE!</v>
      </c>
      <c r="DY48" s="249"/>
      <c r="DZ48" s="226" t="e">
        <f>SUM(DU48:DY48)</f>
        <v>#VALUE!</v>
      </c>
      <c r="EA48" s="214" t="s">
        <v>35</v>
      </c>
      <c r="EB48" s="216" t="e">
        <f>IF(AND(CF48=CF47,BA39=BA38),BH53,"kkk")</f>
        <v>#VALUE!</v>
      </c>
      <c r="EC48" s="248" t="s">
        <v>53</v>
      </c>
      <c r="ED48" s="216" t="e">
        <f>IF(AND(CF48=CF49,BA39=BA40),BL50,"kkk")</f>
        <v>#VALUE!</v>
      </c>
      <c r="EE48" s="216" t="e">
        <f>IF(AND(CF48=CF50,BA39=BA41),BL52,"kkk")</f>
        <v>#VALUE!</v>
      </c>
      <c r="EF48" s="249"/>
      <c r="EG48" s="226" t="e">
        <f>SUM(EB48:EF48)</f>
        <v>#VALUE!</v>
      </c>
      <c r="EH48" s="214" t="s">
        <v>35</v>
      </c>
      <c r="EI48" s="216" t="e">
        <f>IF(BD39&lt;&gt;"ùùù",IF(AND(CF48=CF47,BD39=BD38),BL53,"kkk"),"kkk")</f>
        <v>#VALUE!</v>
      </c>
      <c r="EJ48" s="248" t="s">
        <v>53</v>
      </c>
      <c r="EK48" s="216" t="e">
        <f>IF(BD39&lt;&gt;"ùùù",IF(AND(CF48=CF49,BD39=BD40),BH50,"kkk"),"kkk")</f>
        <v>#VALUE!</v>
      </c>
      <c r="EL48" s="216" t="e">
        <f>IF(BD39&lt;&gt;"ùùù",IF(AND(CF48=CF50,BD39=BD41),BH52,"kkk"),"kkk")</f>
        <v>#VALUE!</v>
      </c>
      <c r="EM48" s="249"/>
      <c r="EN48" s="226" t="e">
        <f>SUM(EI48:EM48)</f>
        <v>#VALUE!</v>
      </c>
      <c r="EO48" s="214" t="s">
        <v>35</v>
      </c>
      <c r="EP48" s="216" t="e">
        <f>IF(BD39&lt;&gt;"ùùù",IF(AND(CF48=CF47,BD39=BD38),BH53,"kkk"),"kkk")</f>
        <v>#VALUE!</v>
      </c>
      <c r="EQ48" s="248" t="s">
        <v>53</v>
      </c>
      <c r="ER48" s="216" t="e">
        <f>IF(BD39&lt;&gt;"ùùù",IF(AND(CF48=CF49,BD39=BD40),BL50,"kkk"),"kkk")</f>
        <v>#VALUE!</v>
      </c>
      <c r="ES48" s="216" t="e">
        <f>IF(BD39&lt;&gt;"ùùù",IF(AND(CF48=CF50,BD39=BD41),BL52,"kkk"),"kkk")</f>
        <v>#VALUE!</v>
      </c>
      <c r="ET48" s="249"/>
      <c r="EU48" s="226" t="e">
        <f>SUM(EP48:ET48)</f>
        <v>#VALUE!</v>
      </c>
      <c r="EV48" s="214" t="s">
        <v>35</v>
      </c>
      <c r="EW48" s="216" t="e">
        <f>IF(AND(CF48=CF47,BC39=BC38),+AG53+AI53+AK53+AM53+AO53,"xxx")</f>
        <v>#VALUE!</v>
      </c>
      <c r="EX48" s="248" t="s">
        <v>53</v>
      </c>
      <c r="EY48" s="216" t="e">
        <f>IF(AND(CF48=CF49,BC39=BC40),+AF50+AH50+AJ50+AL50+AN50,"xxx")</f>
        <v>#VALUE!</v>
      </c>
      <c r="EZ48" s="216" t="e">
        <f>IF(AND(CF48=CF50,BC39=BC41),+AF52+AH52+AJ52+AL52+AN52,"xxx")</f>
        <v>#VALUE!</v>
      </c>
      <c r="FA48" s="249"/>
      <c r="FB48" s="226" t="e">
        <f>SUM(EW48:FA48)</f>
        <v>#VALUE!</v>
      </c>
      <c r="FC48" s="214" t="s">
        <v>35</v>
      </c>
      <c r="FD48" s="216" t="e">
        <f>IF(AND(CF48=CF47,BC39=BC38),+AF53+AH53+AJ53+AL53+AN53,"xxx")</f>
        <v>#VALUE!</v>
      </c>
      <c r="FE48" s="248" t="s">
        <v>53</v>
      </c>
      <c r="FF48" s="216" t="e">
        <f>IF(AND(CF48=CF49,BC39=BC40),+AG50+AI50+AK50+AM50+AO50,"xxx")</f>
        <v>#VALUE!</v>
      </c>
      <c r="FG48" s="216" t="e">
        <f>IF(AND(CF48=CF50,BC39=BC41),+AG52+AI52+AK52+AM52+AO52,"xxx")</f>
        <v>#VALUE!</v>
      </c>
      <c r="FH48" s="249"/>
      <c r="FI48" s="226" t="e">
        <f>SUM(FD48:FH48)</f>
        <v>#VALUE!</v>
      </c>
      <c r="FJ48" s="224"/>
      <c r="FK48" s="224"/>
      <c r="FL48" s="224"/>
      <c r="FM48" s="224"/>
    </row>
    <row r="49" spans="1:169" ht="24.95" customHeight="1" x14ac:dyDescent="0.2">
      <c r="A49" s="541">
        <v>1</v>
      </c>
      <c r="B49" s="420" t="s">
        <v>13</v>
      </c>
      <c r="C49" s="421">
        <v>2</v>
      </c>
      <c r="D49" s="422" t="s">
        <v>21</v>
      </c>
      <c r="E49" s="423">
        <f>E48+0.014</f>
        <v>5.6000000000000001E-2</v>
      </c>
      <c r="F49" s="424">
        <f>F45</f>
        <v>0</v>
      </c>
      <c r="G49" s="673" t="str">
        <f t="shared" si="24"/>
        <v>LE DANTEC Enola</v>
      </c>
      <c r="H49" s="667"/>
      <c r="I49" s="667"/>
      <c r="J49" s="667"/>
      <c r="K49" s="667"/>
      <c r="L49" s="425" t="s">
        <v>9</v>
      </c>
      <c r="M49" s="667" t="str">
        <f t="shared" si="25"/>
        <v>CHAUSSEE Léna</v>
      </c>
      <c r="N49" s="667"/>
      <c r="O49" s="667"/>
      <c r="P49" s="667"/>
      <c r="Q49" s="668"/>
      <c r="R49" s="211"/>
      <c r="S49" s="210"/>
      <c r="T49" s="210"/>
      <c r="U49" s="210"/>
      <c r="V49" s="210"/>
      <c r="W49" s="516"/>
      <c r="X49" s="524" t="str">
        <f>IF(AND(COUNTIF(($R49:$V49),"&gt;0")&gt;=2),1,IF(AND(COUNTIF(($R49:$V49),"&lt;0")&gt;=2),0,blanc))</f>
        <v xml:space="preserve"> </v>
      </c>
      <c r="Y49" s="518" t="str">
        <f>IF(AND(X49=0),1,IF(AND(X49=1),0,blanc))</f>
        <v xml:space="preserve"> </v>
      </c>
      <c r="Z49" s="426"/>
      <c r="AA49" s="523"/>
      <c r="AC49" s="258">
        <f>IF(AF38&lt;&gt;" ",AF38," ")</f>
        <v>1</v>
      </c>
      <c r="AD49" s="259">
        <f>IF(AF41&lt;&gt;" ",AF41," ")</f>
        <v>4</v>
      </c>
      <c r="AE49" s="260" t="str">
        <f t="shared" ref="AE49:AE54" si="28">IF(AK49&lt;&gt;0,IF(BI49&lt;0,AD49,AC49),IF(BI49=2,AC49,IF(BI49=-2,AD49," ")))</f>
        <v xml:space="preserve"> </v>
      </c>
      <c r="AF49" s="261">
        <f t="shared" ref="AF49:AF54" si="29">IF(R45=0,0,IF(R45&lt;0,-R45,IF(R45&lt;10,11,R45+2)))</f>
        <v>0</v>
      </c>
      <c r="AG49" s="262">
        <f t="shared" ref="AG49:AG54" si="30">IF(R45=0,0,IF(R45&gt;0,R45,IF(R45&gt;-10,11,-R45+2)))</f>
        <v>0</v>
      </c>
      <c r="AH49" s="259">
        <f t="shared" ref="AH49:AH54" si="31">IF(S45=0,0,IF(S45&lt;0,-S45,IF(S45&lt;10,11,S45+2)))</f>
        <v>0</v>
      </c>
      <c r="AI49" s="262">
        <f t="shared" ref="AI49:AI54" si="32">IF(S45=0,0,IF(S45&gt;0,S45,IF(S45&gt;-10,11,-S45+2)))</f>
        <v>0</v>
      </c>
      <c r="AJ49" s="263">
        <f t="shared" ref="AJ49:AJ54" si="33">IF(T45=0,0,IF(T45&lt;0,-T45,IF(T45&lt;10,11,T45+2)))</f>
        <v>0</v>
      </c>
      <c r="AK49" s="262">
        <f t="shared" ref="AK49:AK54" si="34">IF(T45=0,0,IF(T45&gt;0,T45,IF(T45&gt;-10,11,-T45+2)))</f>
        <v>0</v>
      </c>
      <c r="AL49" s="263">
        <f t="shared" ref="AL49:AL54" si="35">IF(U45=0,0,IF(U45&lt;0,-U45,IF(U45&lt;10,11,U45+2)))</f>
        <v>0</v>
      </c>
      <c r="AM49" s="262">
        <f t="shared" ref="AM49:AM54" si="36">IF(U45=0,0,IF(U45&gt;0,U45,IF(U45&gt;-10,11,-U45+2)))</f>
        <v>0</v>
      </c>
      <c r="AN49" s="263">
        <f t="shared" ref="AN49:AN54" si="37">IF(V45=0,0,IF(V45&lt;0,-V45,IF(V45&lt;10,11,V45+2)))</f>
        <v>0</v>
      </c>
      <c r="AO49" s="264">
        <f t="shared" ref="AO49:AO54" si="38">IF(V45=0,0,IF(V45&gt;0,V45,IF(V45&gt;-10,11,-V45+2)))</f>
        <v>0</v>
      </c>
      <c r="AP49" s="265">
        <f>IF(BI49&gt;0,1,0)</f>
        <v>0</v>
      </c>
      <c r="AR49" s="266"/>
      <c r="AS49" s="265">
        <f>IF(BI49&lt;0,1,0)</f>
        <v>0</v>
      </c>
      <c r="AT49" s="267"/>
      <c r="AU49" s="229"/>
      <c r="AV49" s="213"/>
      <c r="AW49" s="213"/>
      <c r="AX49" s="213"/>
      <c r="AY49" s="268">
        <f>IF(BI49&gt;0,1,0)</f>
        <v>0</v>
      </c>
      <c r="BA49" s="269"/>
      <c r="BB49" s="270">
        <f>IF(BI49&lt;0,1,0)</f>
        <v>0</v>
      </c>
      <c r="BC49" s="271">
        <f t="shared" ref="BC49:BC54" si="39">IF(AF49&lt;&gt;0,IF(AF49&gt;AG49,1,-1),0)</f>
        <v>0</v>
      </c>
      <c r="BD49" s="271">
        <f t="shared" ref="BD49:BD54" si="40">IF(AH49&lt;&gt;0,IF(AH49&gt;AI49,1,-1),0)</f>
        <v>0</v>
      </c>
      <c r="BE49" s="271">
        <f t="shared" ref="BE49:BE54" si="41">IF(AJ49&lt;&gt;0,IF(AJ49&gt;AK49,1,-1),0)</f>
        <v>0</v>
      </c>
      <c r="BF49" s="271">
        <f t="shared" ref="BF49:BF54" si="42">IF(AL49&lt;&gt;0,IF(AL49&gt;AM49,1,-1),0)</f>
        <v>0</v>
      </c>
      <c r="BG49" s="271">
        <f t="shared" ref="BG49:BG54" si="43">IF(AN49&lt;&gt;0,IF(AN49&gt;AO49,1,-1),0)</f>
        <v>0</v>
      </c>
      <c r="BH49" s="271" t="str">
        <f t="shared" ref="BH49:BH54" si="44">IF(BM49=0,"M",IF(BI49&gt;0,3,IF(BI49=0,"N",3+BI49)))</f>
        <v>M</v>
      </c>
      <c r="BI49" s="271">
        <f t="shared" ref="BI49:BI54" si="45">SUM(BC49:BG49)</f>
        <v>0</v>
      </c>
      <c r="BJ49" s="271"/>
      <c r="BK49" s="271"/>
      <c r="BL49" s="271" t="e">
        <f t="shared" ref="BL49:BL54" si="46">BM49-BH49</f>
        <v>#VALUE!</v>
      </c>
      <c r="BM49" s="271">
        <f t="shared" ref="BM49:BM54" si="47">ABS(BC49)+ABS(BD49)+ABS(BE49)+ABS(BF49)+ABS(BG49)</f>
        <v>0</v>
      </c>
      <c r="BN49" s="271"/>
      <c r="BO49" s="272"/>
      <c r="BQ49" s="200"/>
      <c r="BR49" s="225"/>
      <c r="BS49" s="214" t="str">
        <f>AE40</f>
        <v>C</v>
      </c>
      <c r="BT49" s="214" t="e">
        <f>BY47</f>
        <v>#VALUE!</v>
      </c>
      <c r="BU49" s="214" t="str">
        <f>BX47</f>
        <v>M</v>
      </c>
      <c r="BV49" s="214" t="e">
        <f>BY48</f>
        <v>#VALUE!</v>
      </c>
      <c r="BW49" s="214" t="str">
        <f>BX48</f>
        <v>M</v>
      </c>
      <c r="BX49" s="244"/>
      <c r="BY49" s="244"/>
      <c r="BZ49" s="214" t="str">
        <f>BH54</f>
        <v>M</v>
      </c>
      <c r="CA49" s="245" t="e">
        <f>BL54</f>
        <v>#VALUE!</v>
      </c>
      <c r="CB49" s="225"/>
      <c r="CC49" s="225"/>
      <c r="CD49" s="246"/>
      <c r="CE49" s="246"/>
      <c r="CF49" s="226" t="e">
        <f t="shared" si="26"/>
        <v>#VALUE!</v>
      </c>
      <c r="CG49" s="219" t="e">
        <f t="shared" si="27"/>
        <v>#VALUE!</v>
      </c>
      <c r="CH49" s="214" t="e">
        <f>IF(BT49&gt;BU49,1,0)</f>
        <v>#VALUE!</v>
      </c>
      <c r="CI49" s="214" t="e">
        <f>IF(BV49&gt;BW49,1,0)</f>
        <v>#VALUE!</v>
      </c>
      <c r="CJ49" s="214" t="e">
        <f>IF(BZ49&gt;CA49,1,0)</f>
        <v>#VALUE!</v>
      </c>
      <c r="CK49" s="214">
        <f>IF(CB49&gt;CC49,1,0)</f>
        <v>0</v>
      </c>
      <c r="CL49" s="214">
        <f>IF(CD49&gt;CE49,1,0)</f>
        <v>0</v>
      </c>
      <c r="CM49" s="247" t="e">
        <f>IF(BT49&lt;BU49,1,0)</f>
        <v>#VALUE!</v>
      </c>
      <c r="CN49" s="214" t="e">
        <f>IF(BV49&lt;BW49,1,0)</f>
        <v>#VALUE!</v>
      </c>
      <c r="CO49" s="214" t="e">
        <f>IF(BZ49&lt;CA49,1,0)</f>
        <v>#VALUE!</v>
      </c>
      <c r="CP49" s="214">
        <f>IF(CB49&lt;CC49,1,0)</f>
        <v>0</v>
      </c>
      <c r="CQ49" s="214">
        <f>IF(CD49&lt;CE49,1,0)</f>
        <v>0</v>
      </c>
      <c r="CR49" s="214" t="s">
        <v>36</v>
      </c>
      <c r="CS49" s="216" t="e">
        <f>IF(CF49=CF47,BA51,"xxx")</f>
        <v>#VALUE!</v>
      </c>
      <c r="CT49" s="216" t="e">
        <f>IF(CF49=CF48,BA50,"xxx")</f>
        <v>#VALUE!</v>
      </c>
      <c r="CU49" s="248" t="s">
        <v>53</v>
      </c>
      <c r="CV49" s="216" t="e">
        <f>IF(CF49=CF50,BA54,"xxx")</f>
        <v>#VALUE!</v>
      </c>
      <c r="CW49" s="249"/>
      <c r="CX49" s="226" t="e">
        <f>SUM(CS49:CW49)</f>
        <v>#VALUE!</v>
      </c>
      <c r="CY49" s="214" t="s">
        <v>36</v>
      </c>
      <c r="CZ49" s="216" t="e">
        <f>IF(CF49=CF47,AY51,"xxx")</f>
        <v>#VALUE!</v>
      </c>
      <c r="DA49" s="216" t="e">
        <f>IF(CF49=CF48,AZ50,"xxx")</f>
        <v>#VALUE!</v>
      </c>
      <c r="DB49" s="248" t="s">
        <v>53</v>
      </c>
      <c r="DC49" s="216" t="e">
        <f>IF(CF49=CF50,BB54,"xxx")</f>
        <v>#VALUE!</v>
      </c>
      <c r="DD49" s="249"/>
      <c r="DE49" s="226" t="e">
        <f>SUM(CZ49:DD49)</f>
        <v>#VALUE!</v>
      </c>
      <c r="DF49" s="214" t="s">
        <v>36</v>
      </c>
      <c r="DG49" s="216" t="e">
        <f>IF(AND(BA40&lt;&gt;0,AY40=AY38),IF(BA40=BA38,BA51,"xxx"),"xxx")</f>
        <v>#VALUE!</v>
      </c>
      <c r="DH49" s="216" t="e">
        <f>IF(AND(BA40&lt;&gt;0,AY40=AY39),IF(BA40=BA39,BA50,"xxx"),"xxx")</f>
        <v>#VALUE!</v>
      </c>
      <c r="DI49" s="248" t="s">
        <v>53</v>
      </c>
      <c r="DJ49" s="216" t="e">
        <f>IF(AND(BA40&lt;&gt;0,AY40=AY41),IF(BA40=BA41,BA54,"xxx"),"xxx")</f>
        <v>#VALUE!</v>
      </c>
      <c r="DK49" s="249"/>
      <c r="DL49" s="226" t="e">
        <f>SUM(DG49:DK49)</f>
        <v>#VALUE!</v>
      </c>
      <c r="DM49" s="214" t="s">
        <v>36</v>
      </c>
      <c r="DN49" s="216" t="e">
        <f>IF(AND(BA40&lt;&gt;0,AY40=AY38),IF(BA40=BA38,AY51,"xxx"),"xxx")</f>
        <v>#VALUE!</v>
      </c>
      <c r="DO49" s="216" t="e">
        <f>IF(AND(BA40&lt;&gt;0,AY40=AY39),IF(BA40=BA39,AZ50,"xxx"),"xxx")</f>
        <v>#VALUE!</v>
      </c>
      <c r="DP49" s="248" t="s">
        <v>53</v>
      </c>
      <c r="DQ49" s="216" t="e">
        <f>IF(AND(BA40&lt;&gt;0,AY40=AY41),IF(BA40=BA41,BB54,"xxx"),"xxx")</f>
        <v>#VALUE!</v>
      </c>
      <c r="DR49" s="249"/>
      <c r="DS49" s="226" t="e">
        <f>SUM(DN49:DR49)</f>
        <v>#VALUE!</v>
      </c>
      <c r="DT49" s="214" t="s">
        <v>36</v>
      </c>
      <c r="DU49" s="216" t="e">
        <f>IF(AND(CF49=CF47,BA40=BA38),BL51,"kkk")</f>
        <v>#VALUE!</v>
      </c>
      <c r="DV49" s="216" t="e">
        <f>IF(AND(CF49=CF48,BA40=BA39),BL50,"kkk")</f>
        <v>#VALUE!</v>
      </c>
      <c r="DW49" s="248" t="s">
        <v>53</v>
      </c>
      <c r="DX49" s="216" t="e">
        <f>IF(AND(CF49=CF50,BA40=BA41),BH54,"kkk")</f>
        <v>#VALUE!</v>
      </c>
      <c r="DY49" s="249"/>
      <c r="DZ49" s="226" t="e">
        <f>SUM(DU49:DY49)</f>
        <v>#VALUE!</v>
      </c>
      <c r="EA49" s="214" t="s">
        <v>36</v>
      </c>
      <c r="EB49" s="216" t="e">
        <f>IF(AND(CF49=CF47,BA40=BA38),BH51,"kkk")</f>
        <v>#VALUE!</v>
      </c>
      <c r="EC49" s="216" t="e">
        <f>IF(AND(CF49=CF48,BA40=BA39),BH50,"kkk")</f>
        <v>#VALUE!</v>
      </c>
      <c r="ED49" s="248" t="s">
        <v>53</v>
      </c>
      <c r="EE49" s="216" t="e">
        <f>IF(AND(CF49=CF50,BA40=BA41),BL54,"kkk")</f>
        <v>#VALUE!</v>
      </c>
      <c r="EF49" s="249"/>
      <c r="EG49" s="226" t="e">
        <f>SUM(EB49:EF49)</f>
        <v>#VALUE!</v>
      </c>
      <c r="EH49" s="214" t="s">
        <v>36</v>
      </c>
      <c r="EI49" s="216" t="e">
        <f>IF(BD40&lt;&gt;"ùùù",IF(AND(CF49=CF47,BD40=BD38),BL51,"kkk"),"kkk")</f>
        <v>#VALUE!</v>
      </c>
      <c r="EJ49" s="216" t="e">
        <f>IF(BD40&lt;&gt;"ùùù",IF(AND(CF49=CF48,BD40=BD39),BL50,"kkk"),"kkk")</f>
        <v>#VALUE!</v>
      </c>
      <c r="EK49" s="248" t="s">
        <v>53</v>
      </c>
      <c r="EL49" s="216" t="e">
        <f>IF(BD40&lt;&gt;"ùùù",IF(AND(CF49=CF50,BD40=BD41),BH54,"kkk"),"kkk")</f>
        <v>#VALUE!</v>
      </c>
      <c r="EM49" s="249"/>
      <c r="EN49" s="226" t="e">
        <f>SUM(EI49:EM49)</f>
        <v>#VALUE!</v>
      </c>
      <c r="EO49" s="214" t="s">
        <v>36</v>
      </c>
      <c r="EP49" s="216" t="e">
        <f>IF(BD40&lt;&gt;"ùùù",IF(AND(CF49=CF47,BD40=BD38),BH51,"kkk"),"kkk")</f>
        <v>#VALUE!</v>
      </c>
      <c r="EQ49" s="216" t="e">
        <f>IF(BD40&lt;&gt;"ùùù",IF(AND(CF49=CF48,BD40=BD39),BH50,"kkk"),"kkk")</f>
        <v>#VALUE!</v>
      </c>
      <c r="ER49" s="248" t="s">
        <v>53</v>
      </c>
      <c r="ES49" s="216" t="e">
        <f>IF(BD40&lt;&gt;"ùùù",IF(AND(CF49=CF50,BD40=BD41),BL54,"kkk"),"kkk")</f>
        <v>#VALUE!</v>
      </c>
      <c r="ET49" s="249"/>
      <c r="EU49" s="226" t="e">
        <f>SUM(EP49:ET49)</f>
        <v>#VALUE!</v>
      </c>
      <c r="EV49" s="214" t="s">
        <v>36</v>
      </c>
      <c r="EW49" s="216" t="e">
        <f>IF(AND(CF49=CF47,BC40=BC38),+AG51+AI51+AK51+AM51+AO51,"xxx")</f>
        <v>#VALUE!</v>
      </c>
      <c r="EX49" s="216" t="e">
        <f>IF(AND(CF49=CF48,BC40=BC39),+AG50+AI50+AK50+AM50+AO50,"xxx")</f>
        <v>#VALUE!</v>
      </c>
      <c r="EY49" s="248" t="s">
        <v>53</v>
      </c>
      <c r="EZ49" s="216" t="e">
        <f>IF(AND(CF49=CF50,BC40=BC41),+AF54+AH54+AJ54+AL54+AN54,"xxx")</f>
        <v>#VALUE!</v>
      </c>
      <c r="FA49" s="249"/>
      <c r="FB49" s="226" t="e">
        <f>SUM(EW49:FA49)</f>
        <v>#VALUE!</v>
      </c>
      <c r="FC49" s="214" t="s">
        <v>36</v>
      </c>
      <c r="FD49" s="216" t="e">
        <f>IF(AND(CF49=CF47,BC40=BC38),+AF51+AH51+AJ51+AL51+AN51,"xxx")</f>
        <v>#VALUE!</v>
      </c>
      <c r="FE49" s="216" t="e">
        <f>IF(AND(CF49=CF48,BC40=BC39),+AF50+AH50+AJ50+AL50+AN50,"xxx")</f>
        <v>#VALUE!</v>
      </c>
      <c r="FF49" s="248" t="s">
        <v>53</v>
      </c>
      <c r="FG49" s="216" t="e">
        <f>IF(AND(CF49=CF50,BC40=BC41),+AG54+AI54+AK54+AM54+AO54,"xxx")</f>
        <v>#VALUE!</v>
      </c>
      <c r="FH49" s="249"/>
      <c r="FI49" s="226" t="e">
        <f>SUM(FD49:FH49)</f>
        <v>#VALUE!</v>
      </c>
      <c r="FJ49" s="213"/>
      <c r="FK49" s="213"/>
      <c r="FL49" s="213"/>
      <c r="FM49" s="213"/>
    </row>
    <row r="50" spans="1:169" ht="24.95" customHeight="1" thickBot="1" x14ac:dyDescent="0.25">
      <c r="A50" s="411">
        <v>3</v>
      </c>
      <c r="B50" s="399" t="s">
        <v>13</v>
      </c>
      <c r="C50" s="542">
        <v>4</v>
      </c>
      <c r="D50" s="543"/>
      <c r="E50" s="544">
        <f>E49+0.014</f>
        <v>7.0000000000000007E-2</v>
      </c>
      <c r="F50" s="545">
        <f>F45</f>
        <v>0</v>
      </c>
      <c r="G50" s="674">
        <f t="shared" si="24"/>
        <v>0</v>
      </c>
      <c r="H50" s="669"/>
      <c r="I50" s="669"/>
      <c r="J50" s="669"/>
      <c r="K50" s="669"/>
      <c r="L50" s="403" t="s">
        <v>9</v>
      </c>
      <c r="M50" s="669">
        <f t="shared" si="25"/>
        <v>0</v>
      </c>
      <c r="N50" s="669"/>
      <c r="O50" s="669"/>
      <c r="P50" s="669"/>
      <c r="Q50" s="670"/>
      <c r="R50" s="537"/>
      <c r="S50" s="538"/>
      <c r="T50" s="538"/>
      <c r="U50" s="539"/>
      <c r="V50" s="539"/>
      <c r="W50" s="516"/>
      <c r="X50" s="526"/>
      <c r="Y50" s="527"/>
      <c r="Z50" s="528" t="str">
        <f>IF(AND(COUNTIF(($R50:$V50),"&gt;0")&gt;=2),1,IF(AND(COUNTIF(($R50:$V50),"&lt;0")&gt;=2),0,blanc))</f>
        <v xml:space="preserve"> </v>
      </c>
      <c r="AA50" s="529" t="str">
        <f>IF(AND(Z50=0),1,IF(AND(Z50=1),0,blanc))</f>
        <v xml:space="preserve"> </v>
      </c>
      <c r="AC50" s="273">
        <f>IF(AF39&lt;&gt;" ",AF39," ")</f>
        <v>2</v>
      </c>
      <c r="AD50" s="274">
        <f>IF(AF40&lt;&gt;" ",AF40," ")</f>
        <v>3</v>
      </c>
      <c r="AE50" s="275" t="str">
        <f t="shared" si="28"/>
        <v xml:space="preserve"> </v>
      </c>
      <c r="AF50" s="261">
        <f t="shared" si="29"/>
        <v>0</v>
      </c>
      <c r="AG50" s="262">
        <f t="shared" si="30"/>
        <v>0</v>
      </c>
      <c r="AH50" s="259">
        <f t="shared" si="31"/>
        <v>0</v>
      </c>
      <c r="AI50" s="262">
        <f t="shared" si="32"/>
        <v>0</v>
      </c>
      <c r="AJ50" s="263">
        <f t="shared" si="33"/>
        <v>0</v>
      </c>
      <c r="AK50" s="262">
        <f t="shared" si="34"/>
        <v>0</v>
      </c>
      <c r="AL50" s="263">
        <f t="shared" si="35"/>
        <v>0</v>
      </c>
      <c r="AM50" s="262">
        <f t="shared" si="36"/>
        <v>0</v>
      </c>
      <c r="AN50" s="263">
        <f t="shared" si="37"/>
        <v>0</v>
      </c>
      <c r="AO50" s="264">
        <f t="shared" si="38"/>
        <v>0</v>
      </c>
      <c r="AP50" s="276"/>
      <c r="AQ50" s="277">
        <f>IF(BI50&gt;0,1,0)</f>
        <v>0</v>
      </c>
      <c r="AR50" s="277">
        <f>IF(BI50&lt;0,1,0)</f>
        <v>0</v>
      </c>
      <c r="AT50" s="278"/>
      <c r="AU50" s="229"/>
      <c r="AV50" s="213"/>
      <c r="AW50" s="213"/>
      <c r="AX50" s="213"/>
      <c r="AY50" s="279"/>
      <c r="AZ50" s="280">
        <f>IF(BI50&gt;0,1,0)</f>
        <v>0</v>
      </c>
      <c r="BA50" s="280">
        <f>IF(BI50&lt;0,1,0)</f>
        <v>0</v>
      </c>
      <c r="BB50" s="281"/>
      <c r="BC50" s="216">
        <f t="shared" si="39"/>
        <v>0</v>
      </c>
      <c r="BD50" s="216">
        <f t="shared" si="40"/>
        <v>0</v>
      </c>
      <c r="BE50" s="216">
        <f t="shared" si="41"/>
        <v>0</v>
      </c>
      <c r="BF50" s="216">
        <f t="shared" si="42"/>
        <v>0</v>
      </c>
      <c r="BG50" s="216">
        <f t="shared" si="43"/>
        <v>0</v>
      </c>
      <c r="BH50" s="216" t="str">
        <f t="shared" si="44"/>
        <v>M</v>
      </c>
      <c r="BI50" s="216">
        <f t="shared" si="45"/>
        <v>0</v>
      </c>
      <c r="BJ50" s="216"/>
      <c r="BK50" s="216"/>
      <c r="BL50" s="216" t="e">
        <f t="shared" si="46"/>
        <v>#VALUE!</v>
      </c>
      <c r="BM50" s="216">
        <f t="shared" si="47"/>
        <v>0</v>
      </c>
      <c r="BN50" s="216"/>
      <c r="BO50" s="257"/>
      <c r="BQ50" s="200"/>
      <c r="BR50" s="225"/>
      <c r="BS50" s="214" t="str">
        <f>AE41</f>
        <v>D</v>
      </c>
      <c r="BT50" s="214" t="e">
        <f>CA47</f>
        <v>#VALUE!</v>
      </c>
      <c r="BU50" s="214" t="str">
        <f>BZ47</f>
        <v>M</v>
      </c>
      <c r="BV50" s="214" t="e">
        <f>CA48</f>
        <v>#VALUE!</v>
      </c>
      <c r="BW50" s="214" t="str">
        <f>BZ48</f>
        <v>M</v>
      </c>
      <c r="BX50" s="214" t="e">
        <f>CA49</f>
        <v>#VALUE!</v>
      </c>
      <c r="BY50" s="214" t="str">
        <f>BZ49</f>
        <v>M</v>
      </c>
      <c r="BZ50" s="244"/>
      <c r="CA50" s="282"/>
      <c r="CB50" s="225"/>
      <c r="CC50" s="225"/>
      <c r="CD50" s="246"/>
      <c r="CE50" s="246"/>
      <c r="CF50" s="226" t="e">
        <f t="shared" si="26"/>
        <v>#VALUE!</v>
      </c>
      <c r="CG50" s="219" t="e">
        <f t="shared" si="27"/>
        <v>#VALUE!</v>
      </c>
      <c r="CH50" s="283" t="e">
        <f>IF(BT50&gt;BU50,1,0)</f>
        <v>#VALUE!</v>
      </c>
      <c r="CI50" s="283" t="e">
        <f>IF(BV50&gt;BW50,1,0)</f>
        <v>#VALUE!</v>
      </c>
      <c r="CJ50" s="283" t="e">
        <f>IF(BX50&gt;BY50,1,0)</f>
        <v>#VALUE!</v>
      </c>
      <c r="CK50" s="283">
        <f>IF(CB50&gt;CC50,1,0)</f>
        <v>0</v>
      </c>
      <c r="CL50" s="283">
        <f>IF(CD50&gt;CE50,1,0)</f>
        <v>0</v>
      </c>
      <c r="CM50" s="284" t="e">
        <f>IF(BT50&lt;BU50,1,0)</f>
        <v>#VALUE!</v>
      </c>
      <c r="CN50" s="283" t="e">
        <f>IF(BV50&lt;BW50,1,0)</f>
        <v>#VALUE!</v>
      </c>
      <c r="CO50" s="283" t="e">
        <f>IF(BX50&lt;BY50,1,0)</f>
        <v>#VALUE!</v>
      </c>
      <c r="CP50" s="283">
        <f>IF(CB50&lt;CC50,1,0)</f>
        <v>0</v>
      </c>
      <c r="CQ50" s="283">
        <f>IF(CD50&lt;CE50,1,0)</f>
        <v>0</v>
      </c>
      <c r="CR50" s="283" t="s">
        <v>61</v>
      </c>
      <c r="CS50" s="252" t="e">
        <f>IF(CF50=CF47,BB49,"xxx")</f>
        <v>#VALUE!</v>
      </c>
      <c r="CT50" s="252" t="e">
        <f>IF(CF50=CF48,BB52,"xxx")</f>
        <v>#VALUE!</v>
      </c>
      <c r="CU50" s="252" t="e">
        <f>IF(CF50=CF49,BB54,"xxx")</f>
        <v>#VALUE!</v>
      </c>
      <c r="CV50" s="285" t="s">
        <v>53</v>
      </c>
      <c r="CW50" s="286"/>
      <c r="CX50" s="226" t="e">
        <f>SUM(CS50:CW50)</f>
        <v>#VALUE!</v>
      </c>
      <c r="CY50" s="283" t="s">
        <v>61</v>
      </c>
      <c r="CZ50" s="252" t="e">
        <f>IF(CF50=CF47,AY49,"xxx")</f>
        <v>#VALUE!</v>
      </c>
      <c r="DA50" s="252" t="e">
        <f>IF(CF50=CF48,AZ52,"xxx")</f>
        <v>#VALUE!</v>
      </c>
      <c r="DB50" s="252" t="e">
        <f>IF(CF50=CF49,BA54,"xxx")</f>
        <v>#VALUE!</v>
      </c>
      <c r="DC50" s="285" t="s">
        <v>53</v>
      </c>
      <c r="DD50" s="286"/>
      <c r="DE50" s="287" t="e">
        <f>SUM(CZ50:DD50)</f>
        <v>#VALUE!</v>
      </c>
      <c r="DF50" s="283" t="s">
        <v>61</v>
      </c>
      <c r="DG50" s="252" t="e">
        <f>IF(AND(BA41&lt;&gt;0,AY41=AY38),IF(BA41=BA38,BB49,"xxx"),"xxx")</f>
        <v>#VALUE!</v>
      </c>
      <c r="DH50" s="252" t="e">
        <f>IF(AND(BA41&lt;&gt;0,AY41=AY39),IF(BA41=BA39,BB52,"xxx"),"xxx")</f>
        <v>#VALUE!</v>
      </c>
      <c r="DI50" s="252" t="e">
        <f>IF(AND(BA41&lt;&gt;0,AY41=AY40),IF(BA41=BA40,BB54,"xxx"),"xxx")</f>
        <v>#VALUE!</v>
      </c>
      <c r="DJ50" s="285" t="s">
        <v>53</v>
      </c>
      <c r="DK50" s="286"/>
      <c r="DL50" s="226" t="e">
        <f>SUM(DG50:DK50)</f>
        <v>#VALUE!</v>
      </c>
      <c r="DM50" s="283" t="s">
        <v>61</v>
      </c>
      <c r="DN50" s="252" t="e">
        <f>IF(AND(BA41&lt;&gt;0,AY41=AY38),IF(BA41=BA38,AY49,"xxx"),"xxx")</f>
        <v>#VALUE!</v>
      </c>
      <c r="DO50" s="252" t="e">
        <f>IF(AND(BA41&lt;&gt;0,AY41=AY39),IF(BA41=BA39,AZ52,"xxx"),"xxx")</f>
        <v>#VALUE!</v>
      </c>
      <c r="DP50" s="252" t="e">
        <f>IF(AND(BA41&lt;&gt;0,AY41=AY40),IF(BA41=BA40,BA54,"xxx"),"xxx")</f>
        <v>#VALUE!</v>
      </c>
      <c r="DQ50" s="285" t="s">
        <v>53</v>
      </c>
      <c r="DR50" s="286"/>
      <c r="DS50" s="226" t="e">
        <f>SUM(DN50:DR50)</f>
        <v>#VALUE!</v>
      </c>
      <c r="DT50" s="283" t="s">
        <v>61</v>
      </c>
      <c r="DU50" s="252" t="e">
        <f>IF(AND(CF50=CF47,BA41=BA38),BL49,"kkk")</f>
        <v>#VALUE!</v>
      </c>
      <c r="DV50" s="252" t="e">
        <f>IF(AND(CF50=CF48,BA41=BA39),BL52,"kkk")</f>
        <v>#VALUE!</v>
      </c>
      <c r="DW50" s="252" t="e">
        <f>IF(AND(CF50=CF49,BA41=BA40),BL54,"kkk")</f>
        <v>#VALUE!</v>
      </c>
      <c r="DX50" s="285" t="s">
        <v>53</v>
      </c>
      <c r="DY50" s="286"/>
      <c r="DZ50" s="226" t="e">
        <f>SUM(DU50:DY50)</f>
        <v>#VALUE!</v>
      </c>
      <c r="EA50" s="283" t="s">
        <v>61</v>
      </c>
      <c r="EB50" s="252" t="e">
        <f>IF(AND(CF50=CF47,BA41=BA38),BH49,"kkk")</f>
        <v>#VALUE!</v>
      </c>
      <c r="EC50" s="252" t="e">
        <f>IF(AND(CF50=CF48,BA41=BA39),BH52,"kkk")</f>
        <v>#VALUE!</v>
      </c>
      <c r="ED50" s="252" t="e">
        <f>IF(AND(CF50=CF49,BA41=BA40),BH54,"kkk")</f>
        <v>#VALUE!</v>
      </c>
      <c r="EE50" s="285" t="s">
        <v>53</v>
      </c>
      <c r="EF50" s="286"/>
      <c r="EG50" s="226" t="e">
        <f>SUM(EB50:EF50)</f>
        <v>#VALUE!</v>
      </c>
      <c r="EH50" s="283" t="s">
        <v>61</v>
      </c>
      <c r="EI50" s="252" t="e">
        <f>IF(BD41&lt;&gt;"ùùù",IF(AND(CF50=CF47,BD41=BD38),BL49,"kkk"),"kkk")</f>
        <v>#VALUE!</v>
      </c>
      <c r="EJ50" s="252" t="e">
        <f>IF(BD41&lt;&gt;"ùùù",IF(AND(CF50=CF48,BD41=BD39),BL52,"kkk"),"kkk")</f>
        <v>#VALUE!</v>
      </c>
      <c r="EK50" s="252" t="e">
        <f>IF(BD41&lt;&gt;"ùùù",IF(AND(CF50=CF49,BD41=BD40),BL54,"kkk"),"kkk")</f>
        <v>#VALUE!</v>
      </c>
      <c r="EL50" s="285" t="s">
        <v>53</v>
      </c>
      <c r="EM50" s="286"/>
      <c r="EN50" s="226" t="e">
        <f>SUM(EI50:EM50)</f>
        <v>#VALUE!</v>
      </c>
      <c r="EO50" s="283" t="s">
        <v>61</v>
      </c>
      <c r="EP50" s="252" t="e">
        <f>IF(BD41&lt;&gt;"ùùù",IF(AND(CF50=CF47,BD41=BD38),BH49,"kkk"),"kkk")</f>
        <v>#VALUE!</v>
      </c>
      <c r="EQ50" s="252" t="e">
        <f>IF(BD41&lt;&gt;"ùùù",IF(AND(CF50=CF48,BD41=BD39),BH52,"kkk"),"kkk")</f>
        <v>#VALUE!</v>
      </c>
      <c r="ER50" s="252" t="e">
        <f>IF(BD41&lt;&gt;"ùùù",IF(AND(CF50=CF49,BD41=BD40),BH54,"kkk"),"kkk")</f>
        <v>#VALUE!</v>
      </c>
      <c r="ES50" s="285" t="s">
        <v>53</v>
      </c>
      <c r="ET50" s="286"/>
      <c r="EU50" s="226" t="e">
        <f>SUM(EP50:ET50)</f>
        <v>#VALUE!</v>
      </c>
      <c r="EV50" s="283" t="s">
        <v>61</v>
      </c>
      <c r="EW50" s="252" t="e">
        <f>IF(AND(CF50=CF47,BC41=BC38),+AG49+AI49+AK49+AM49+AO49,"xxx")</f>
        <v>#VALUE!</v>
      </c>
      <c r="EX50" s="252" t="e">
        <f>IF(AND(CF50=CF48,BC41=BC39),+AG52+AI52+AK52+AM52+AO52,"xxx")</f>
        <v>#VALUE!</v>
      </c>
      <c r="EY50" s="252" t="e">
        <f>IF(AND(CF50=CF49,BC40=BC41),+AG54+AI54+AK54+AM54+AO54,"xxx")</f>
        <v>#VALUE!</v>
      </c>
      <c r="EZ50" s="285" t="s">
        <v>53</v>
      </c>
      <c r="FA50" s="286"/>
      <c r="FB50" s="226" t="e">
        <f>SUM(EW50:FA50)</f>
        <v>#VALUE!</v>
      </c>
      <c r="FC50" s="283" t="s">
        <v>61</v>
      </c>
      <c r="FD50" s="252" t="e">
        <f>IF(AND(CF50=CF47,BC41=BC38),+AF49+AH49+AJ49+AL49+AN49,"xxx")</f>
        <v>#VALUE!</v>
      </c>
      <c r="FE50" s="252" t="e">
        <f>IF(AND(CF50=CF48,BC41=BC39),+AF52+AH52+AJ52+AL52+AN52,"xxx")</f>
        <v>#VALUE!</v>
      </c>
      <c r="FF50" s="252" t="e">
        <f>IF(AND(CF50=CF49,BC41=BC40),+AF54+AH54+AJ54+AL54+AN54,"xxx")</f>
        <v>#VALUE!</v>
      </c>
      <c r="FG50" s="285" t="s">
        <v>53</v>
      </c>
      <c r="FH50" s="286"/>
      <c r="FI50" s="226" t="e">
        <f>SUM(FD50:FH50)</f>
        <v>#VALUE!</v>
      </c>
      <c r="FJ50" s="213"/>
      <c r="FK50" s="213"/>
      <c r="FL50" s="213"/>
      <c r="FM50" s="213"/>
    </row>
    <row r="51" spans="1:169" ht="21.95" customHeight="1" x14ac:dyDescent="0.2">
      <c r="A51" s="394"/>
      <c r="B51" s="394"/>
      <c r="C51" s="427"/>
      <c r="D51" s="427"/>
      <c r="E51" s="427"/>
      <c r="F51" s="427"/>
      <c r="G51" s="394"/>
      <c r="H51" s="390"/>
      <c r="I51" s="390"/>
      <c r="J51" s="390"/>
      <c r="K51" s="390"/>
      <c r="L51" s="428">
        <v>6</v>
      </c>
      <c r="M51" s="430"/>
      <c r="N51" s="428" t="s">
        <v>3</v>
      </c>
      <c r="O51" s="751" t="s">
        <v>17</v>
      </c>
      <c r="P51" s="752"/>
      <c r="Q51" s="752"/>
      <c r="R51" s="729"/>
      <c r="S51" s="729"/>
      <c r="T51" s="729"/>
      <c r="U51" s="729"/>
      <c r="V51" s="730"/>
      <c r="W51" s="517"/>
      <c r="X51" s="530" t="str">
        <f>IF(X45=blanc,blanc,SUM(X45:X50))</f>
        <v xml:space="preserve"> </v>
      </c>
      <c r="Y51" s="531" t="str">
        <f>IF(X45=blanc,blanc,SUM(Y45:Y50))</f>
        <v xml:space="preserve"> </v>
      </c>
      <c r="Z51" s="531" t="str">
        <f>IF(X45=blanc,blanc,SUM(Z45:Z50))</f>
        <v xml:space="preserve"> </v>
      </c>
      <c r="AA51" s="532" t="str">
        <f>IF(X45=blanc,blanc,SUM(AA45:AA50))</f>
        <v xml:space="preserve"> </v>
      </c>
      <c r="AB51" s="398">
        <f>SUM(X51:AA51)</f>
        <v>0</v>
      </c>
      <c r="AC51" s="273">
        <f>IF(AF38&lt;&gt;" ",AF38," ")</f>
        <v>1</v>
      </c>
      <c r="AD51" s="274">
        <f>IF(AF40&lt;&gt;" ",AF40," ")</f>
        <v>3</v>
      </c>
      <c r="AE51" s="275" t="str">
        <f t="shared" si="28"/>
        <v xml:space="preserve"> </v>
      </c>
      <c r="AF51" s="261">
        <f t="shared" si="29"/>
        <v>0</v>
      </c>
      <c r="AG51" s="262">
        <f t="shared" si="30"/>
        <v>0</v>
      </c>
      <c r="AH51" s="259">
        <f t="shared" si="31"/>
        <v>0</v>
      </c>
      <c r="AI51" s="262">
        <f t="shared" si="32"/>
        <v>0</v>
      </c>
      <c r="AJ51" s="263">
        <f t="shared" si="33"/>
        <v>0</v>
      </c>
      <c r="AK51" s="262">
        <f t="shared" si="34"/>
        <v>0</v>
      </c>
      <c r="AL51" s="263">
        <f t="shared" si="35"/>
        <v>0</v>
      </c>
      <c r="AM51" s="262">
        <f t="shared" si="36"/>
        <v>0</v>
      </c>
      <c r="AN51" s="263">
        <f t="shared" si="37"/>
        <v>0</v>
      </c>
      <c r="AO51" s="264">
        <f t="shared" si="38"/>
        <v>0</v>
      </c>
      <c r="AP51" s="288">
        <f>IF(BI51&gt;0,1,0)</f>
        <v>0</v>
      </c>
      <c r="AQ51" s="289"/>
      <c r="AR51" s="290">
        <f>IF(BI51&lt;0,1,0)</f>
        <v>0</v>
      </c>
      <c r="AS51" s="291"/>
      <c r="AT51" s="267"/>
      <c r="AU51" s="229"/>
      <c r="AV51" s="213"/>
      <c r="AW51" s="213"/>
      <c r="AX51" s="213"/>
      <c r="AY51" s="292">
        <f>IF(BI51&gt;0,1,0)</f>
        <v>0</v>
      </c>
      <c r="AZ51" s="293"/>
      <c r="BA51" s="280">
        <f>IF(BI51&lt;0,1,0)</f>
        <v>0</v>
      </c>
      <c r="BB51" s="294"/>
      <c r="BC51" s="216">
        <f t="shared" si="39"/>
        <v>0</v>
      </c>
      <c r="BD51" s="216">
        <f t="shared" si="40"/>
        <v>0</v>
      </c>
      <c r="BE51" s="216">
        <f t="shared" si="41"/>
        <v>0</v>
      </c>
      <c r="BF51" s="216">
        <f t="shared" si="42"/>
        <v>0</v>
      </c>
      <c r="BG51" s="216">
        <f t="shared" si="43"/>
        <v>0</v>
      </c>
      <c r="BH51" s="216" t="str">
        <f t="shared" si="44"/>
        <v>M</v>
      </c>
      <c r="BI51" s="216">
        <f t="shared" si="45"/>
        <v>0</v>
      </c>
      <c r="BJ51" s="216"/>
      <c r="BK51" s="216"/>
      <c r="BL51" s="216" t="e">
        <f t="shared" si="46"/>
        <v>#VALUE!</v>
      </c>
      <c r="BM51" s="216">
        <f t="shared" si="47"/>
        <v>0</v>
      </c>
      <c r="BN51" s="216"/>
      <c r="BO51" s="257"/>
      <c r="BQ51" s="200"/>
      <c r="BR51" s="225"/>
      <c r="BS51" s="283">
        <f>AE42</f>
        <v>0</v>
      </c>
      <c r="BT51" s="283">
        <f>CC47</f>
        <v>0</v>
      </c>
      <c r="BU51" s="283">
        <f>CB47</f>
        <v>0</v>
      </c>
      <c r="BV51" s="283">
        <f>CC48</f>
        <v>0</v>
      </c>
      <c r="BW51" s="283">
        <f>CB48</f>
        <v>0</v>
      </c>
      <c r="BX51" s="283">
        <f>CC49</f>
        <v>0</v>
      </c>
      <c r="BY51" s="283">
        <f>CB49</f>
        <v>0</v>
      </c>
      <c r="BZ51" s="283">
        <f>CC50</f>
        <v>0</v>
      </c>
      <c r="CA51" s="295">
        <f>CB50</f>
        <v>0</v>
      </c>
      <c r="CB51" s="246"/>
      <c r="CC51" s="246"/>
      <c r="CD51" s="246"/>
      <c r="CE51" s="246"/>
      <c r="CF51" s="226">
        <f t="shared" si="26"/>
        <v>0</v>
      </c>
      <c r="CG51" s="219">
        <f t="shared" si="27"/>
        <v>0</v>
      </c>
      <c r="CH51" s="246"/>
      <c r="CI51" s="246"/>
      <c r="CJ51" s="246"/>
      <c r="CK51" s="246"/>
      <c r="CL51" s="246"/>
      <c r="CM51" s="246"/>
      <c r="CN51" s="246"/>
      <c r="CO51" s="246"/>
      <c r="CP51" s="246"/>
      <c r="CQ51" s="246"/>
      <c r="CR51" s="246"/>
      <c r="CS51" s="229"/>
      <c r="CT51" s="229"/>
      <c r="CU51" s="229"/>
      <c r="CV51" s="229"/>
      <c r="CW51" s="229"/>
      <c r="CX51" s="229"/>
      <c r="CY51" s="246"/>
      <c r="CZ51" s="229"/>
      <c r="DA51" s="229"/>
      <c r="DB51" s="229"/>
      <c r="DC51" s="229"/>
      <c r="DD51" s="229"/>
      <c r="DE51" s="229"/>
      <c r="DF51" s="246"/>
      <c r="DG51" s="229"/>
      <c r="DH51" s="229"/>
      <c r="DI51" s="229"/>
      <c r="DJ51" s="229"/>
      <c r="DK51" s="229"/>
      <c r="DL51" s="229"/>
      <c r="DM51" s="246"/>
      <c r="DN51" s="229"/>
      <c r="DO51" s="229"/>
      <c r="DP51" s="229"/>
      <c r="DQ51" s="229"/>
      <c r="DR51" s="229"/>
      <c r="DS51" s="229"/>
      <c r="DT51" s="246"/>
      <c r="DU51" s="229"/>
      <c r="DV51" s="229"/>
      <c r="DW51" s="229"/>
      <c r="DX51" s="229"/>
      <c r="DY51" s="229"/>
      <c r="DZ51" s="229"/>
      <c r="EA51" s="246"/>
      <c r="EB51" s="229"/>
      <c r="EC51" s="229"/>
      <c r="ED51" s="229"/>
      <c r="EE51" s="229"/>
      <c r="EF51" s="229"/>
      <c r="EG51" s="229"/>
      <c r="EH51" s="246"/>
      <c r="EI51" s="229"/>
      <c r="EJ51" s="229"/>
      <c r="EK51" s="229"/>
      <c r="EL51" s="229"/>
      <c r="EM51" s="229"/>
      <c r="EN51" s="229"/>
      <c r="EO51" s="246"/>
      <c r="EP51" s="229"/>
      <c r="EQ51" s="229"/>
      <c r="ER51" s="229"/>
      <c r="ES51" s="229"/>
      <c r="ET51" s="229"/>
      <c r="EU51" s="229"/>
      <c r="EV51" s="246"/>
      <c r="EW51" s="229"/>
      <c r="EX51" s="229"/>
      <c r="EY51" s="229"/>
      <c r="EZ51" s="229"/>
      <c r="FA51" s="229"/>
      <c r="FB51" s="229"/>
      <c r="FC51" s="246"/>
      <c r="FD51" s="229"/>
      <c r="FE51" s="229"/>
      <c r="FF51" s="229"/>
      <c r="FG51" s="229"/>
      <c r="FH51" s="229"/>
      <c r="FI51" s="229"/>
      <c r="FJ51" s="213"/>
      <c r="FK51" s="213"/>
      <c r="FL51" s="213"/>
      <c r="FM51" s="213"/>
    </row>
    <row r="52" spans="1:169" ht="21.95" customHeight="1" thickBot="1" x14ac:dyDescent="0.25">
      <c r="A52" s="394"/>
      <c r="B52" s="429" t="s">
        <v>4</v>
      </c>
      <c r="C52" s="394"/>
      <c r="D52" s="394"/>
      <c r="E52" s="394"/>
      <c r="F52" s="394"/>
      <c r="G52" s="394"/>
      <c r="H52" s="390"/>
      <c r="I52" s="390"/>
      <c r="J52" s="390"/>
      <c r="K52" s="296" t="s">
        <v>3</v>
      </c>
      <c r="L52" s="297"/>
      <c r="M52" s="298" t="str">
        <f>IF(AB52=AB51,K52,IF(AB52&gt;AB51,""))</f>
        <v/>
      </c>
      <c r="N52" s="390"/>
      <c r="O52" s="699" t="s">
        <v>18</v>
      </c>
      <c r="P52" s="700"/>
      <c r="Q52" s="700"/>
      <c r="R52" s="700"/>
      <c r="S52" s="700"/>
      <c r="T52" s="700"/>
      <c r="U52" s="700"/>
      <c r="V52" s="701"/>
      <c r="W52" s="517"/>
      <c r="X52" s="533" t="str">
        <f>IF(M52="OK",BK38,"")</f>
        <v/>
      </c>
      <c r="Y52" s="534" t="str">
        <f>IF(M52="OK",BK39,"")</f>
        <v/>
      </c>
      <c r="Z52" s="534" t="str">
        <f>IF(M52="OK",BK40,"")</f>
        <v/>
      </c>
      <c r="AA52" s="535" t="str">
        <f>IF(M52="OK",BK41,"")</f>
        <v/>
      </c>
      <c r="AB52" s="398">
        <v>6</v>
      </c>
      <c r="AC52" s="258">
        <f>IF(AF39&lt;&gt;" ",AF39," ")</f>
        <v>2</v>
      </c>
      <c r="AD52" s="259">
        <f>IF(AF41&lt;&gt;" ",AF41," ")</f>
        <v>4</v>
      </c>
      <c r="AE52" s="275" t="str">
        <f t="shared" si="28"/>
        <v xml:space="preserve"> </v>
      </c>
      <c r="AF52" s="261">
        <f t="shared" si="29"/>
        <v>0</v>
      </c>
      <c r="AG52" s="262">
        <f t="shared" si="30"/>
        <v>0</v>
      </c>
      <c r="AH52" s="259">
        <f t="shared" si="31"/>
        <v>0</v>
      </c>
      <c r="AI52" s="262">
        <f t="shared" si="32"/>
        <v>0</v>
      </c>
      <c r="AJ52" s="263">
        <f t="shared" si="33"/>
        <v>0</v>
      </c>
      <c r="AK52" s="262">
        <f t="shared" si="34"/>
        <v>0</v>
      </c>
      <c r="AL52" s="263">
        <f t="shared" si="35"/>
        <v>0</v>
      </c>
      <c r="AM52" s="262">
        <f t="shared" si="36"/>
        <v>0</v>
      </c>
      <c r="AN52" s="263">
        <f t="shared" si="37"/>
        <v>0</v>
      </c>
      <c r="AO52" s="264">
        <f t="shared" si="38"/>
        <v>0</v>
      </c>
      <c r="AP52" s="276"/>
      <c r="AQ52" s="277">
        <f>IF(BI52&gt;0,1,0)</f>
        <v>0</v>
      </c>
      <c r="AR52" s="281"/>
      <c r="AS52" s="299">
        <f>IF(BI52&lt;0,1,0)</f>
        <v>0</v>
      </c>
      <c r="AT52" s="278"/>
      <c r="AU52" s="229"/>
      <c r="AV52" s="213"/>
      <c r="AW52" s="213"/>
      <c r="AX52" s="213"/>
      <c r="AY52" s="279"/>
      <c r="AZ52" s="280">
        <f>IF(BI52&gt;0,1,0)</f>
        <v>0</v>
      </c>
      <c r="BB52" s="300">
        <f>IF(BI52&lt;0,1,0)</f>
        <v>0</v>
      </c>
      <c r="BC52" s="216">
        <f t="shared" si="39"/>
        <v>0</v>
      </c>
      <c r="BD52" s="216">
        <f t="shared" si="40"/>
        <v>0</v>
      </c>
      <c r="BE52" s="216">
        <f t="shared" si="41"/>
        <v>0</v>
      </c>
      <c r="BF52" s="216">
        <f t="shared" si="42"/>
        <v>0</v>
      </c>
      <c r="BG52" s="216">
        <f t="shared" si="43"/>
        <v>0</v>
      </c>
      <c r="BH52" s="216" t="str">
        <f t="shared" si="44"/>
        <v>M</v>
      </c>
      <c r="BI52" s="216">
        <f t="shared" si="45"/>
        <v>0</v>
      </c>
      <c r="BJ52" s="216"/>
      <c r="BK52" s="216"/>
      <c r="BL52" s="216" t="e">
        <f t="shared" si="46"/>
        <v>#VALUE!</v>
      </c>
      <c r="BM52" s="216">
        <f t="shared" si="47"/>
        <v>0</v>
      </c>
      <c r="BN52" s="216"/>
      <c r="BO52" s="257"/>
      <c r="BQ52" s="200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46"/>
      <c r="CE52" s="246"/>
      <c r="CF52" s="226">
        <f t="shared" si="26"/>
        <v>0</v>
      </c>
      <c r="CG52" s="219">
        <f t="shared" si="27"/>
        <v>0</v>
      </c>
      <c r="CH52" s="246"/>
      <c r="CI52" s="246"/>
      <c r="CJ52" s="246"/>
      <c r="CK52" s="246"/>
      <c r="CL52" s="246"/>
      <c r="CM52" s="246"/>
      <c r="CN52" s="246"/>
      <c r="CO52" s="246"/>
      <c r="CP52" s="246"/>
      <c r="CQ52" s="246"/>
      <c r="CR52" s="246"/>
      <c r="CS52" s="229"/>
      <c r="CT52" s="229"/>
      <c r="CU52" s="229"/>
      <c r="CV52" s="229"/>
      <c r="CW52" s="229"/>
      <c r="CX52" s="229"/>
      <c r="CY52" s="226"/>
      <c r="CZ52" s="246"/>
      <c r="DA52" s="229"/>
      <c r="DB52" s="229"/>
      <c r="DC52" s="229"/>
      <c r="DD52" s="229"/>
      <c r="DE52" s="229"/>
      <c r="DF52" s="246"/>
      <c r="DG52" s="229"/>
      <c r="DH52" s="229"/>
      <c r="DI52" s="229"/>
      <c r="DJ52" s="229"/>
      <c r="DK52" s="229"/>
      <c r="DL52" s="229"/>
      <c r="DM52" s="246"/>
      <c r="DN52" s="229"/>
      <c r="DO52" s="229"/>
      <c r="DP52" s="229"/>
      <c r="DQ52" s="229"/>
      <c r="DR52" s="229"/>
      <c r="DS52" s="229"/>
      <c r="DT52" s="225"/>
      <c r="DU52" s="226"/>
      <c r="DV52" s="213"/>
      <c r="DW52" s="225"/>
      <c r="DX52" s="226"/>
      <c r="DY52" s="226"/>
      <c r="DZ52" s="225"/>
      <c r="EA52" s="225"/>
      <c r="EB52" s="226" t="e">
        <f>IF(EG47&gt;0,DZ47/EG47,"???")</f>
        <v>#VALUE!</v>
      </c>
      <c r="EC52" s="226" t="e">
        <f>IF(EG48&gt;0,DZ48/EG48,"???")</f>
        <v>#VALUE!</v>
      </c>
      <c r="ED52" s="226" t="e">
        <f>IF(EG49&gt;0,DZ49/EG49,"???")</f>
        <v>#VALUE!</v>
      </c>
      <c r="EE52" s="226" t="e">
        <f>IF(EG50&gt;0,DZ50/EG50,"???")</f>
        <v>#VALUE!</v>
      </c>
      <c r="EF52" s="226" t="str">
        <f>IF(EG51&gt;0,DZ51/EG51,"???")</f>
        <v>???</v>
      </c>
      <c r="EG52" s="226"/>
      <c r="EH52" s="246"/>
      <c r="EI52" s="229"/>
      <c r="EJ52" s="229"/>
      <c r="EK52" s="229"/>
      <c r="EL52" s="229"/>
      <c r="EM52" s="229"/>
      <c r="EN52" s="226">
        <f>SUM(EI52:EM52)</f>
        <v>0</v>
      </c>
      <c r="EO52" s="246"/>
      <c r="EP52" s="225" t="e">
        <f>IF(EU47&gt;0,EN47/EU47,"???")</f>
        <v>#VALUE!</v>
      </c>
      <c r="EQ52" s="225" t="e">
        <f>IF(EU48&gt;0,EN48/EU48,"???")</f>
        <v>#VALUE!</v>
      </c>
      <c r="ER52" s="225" t="e">
        <f>IF(EU49&gt;0,EN49/EU49,"???")</f>
        <v>#VALUE!</v>
      </c>
      <c r="ES52" s="225" t="e">
        <f>IF(EU50&gt;0,EN50/EU50,"???")</f>
        <v>#VALUE!</v>
      </c>
      <c r="ET52" s="225" t="str">
        <f>IF(EU51&gt;0,EN51/EU51,"???")</f>
        <v>???</v>
      </c>
      <c r="EU52" s="226"/>
      <c r="EV52" s="246"/>
      <c r="EW52" s="229"/>
      <c r="EX52" s="229"/>
      <c r="EY52" s="229"/>
      <c r="EZ52" s="229"/>
      <c r="FA52" s="229"/>
      <c r="FB52" s="301" t="e">
        <f>SUM(FB47:FB51)</f>
        <v>#VALUE!</v>
      </c>
      <c r="FC52" s="246"/>
      <c r="FD52" s="229"/>
      <c r="FF52" s="229"/>
      <c r="FG52" s="229"/>
      <c r="FH52" s="229"/>
      <c r="FI52" s="301" t="e">
        <f>SUM(FI47:FI51)</f>
        <v>#VALUE!</v>
      </c>
      <c r="FJ52" s="213"/>
      <c r="FK52" s="213"/>
      <c r="FL52" s="213"/>
      <c r="FM52" s="213"/>
    </row>
    <row r="53" spans="1:169" ht="21.95" customHeight="1" thickBot="1" x14ac:dyDescent="0.25">
      <c r="W53" s="390"/>
      <c r="AA53" s="390"/>
      <c r="AC53" s="273">
        <f>IF(AF38&lt;&gt;" ",AF38," ")</f>
        <v>1</v>
      </c>
      <c r="AD53" s="274">
        <f>IF(AF39&lt;&gt;" ",AF39," ")</f>
        <v>2</v>
      </c>
      <c r="AE53" s="275" t="str">
        <f t="shared" si="28"/>
        <v xml:space="preserve"> </v>
      </c>
      <c r="AF53" s="261">
        <f t="shared" si="29"/>
        <v>0</v>
      </c>
      <c r="AG53" s="262">
        <f t="shared" si="30"/>
        <v>0</v>
      </c>
      <c r="AH53" s="259">
        <f t="shared" si="31"/>
        <v>0</v>
      </c>
      <c r="AI53" s="262">
        <f t="shared" si="32"/>
        <v>0</v>
      </c>
      <c r="AJ53" s="263">
        <f t="shared" si="33"/>
        <v>0</v>
      </c>
      <c r="AK53" s="262">
        <f t="shared" si="34"/>
        <v>0</v>
      </c>
      <c r="AL53" s="263">
        <f t="shared" si="35"/>
        <v>0</v>
      </c>
      <c r="AM53" s="262">
        <f t="shared" si="36"/>
        <v>0</v>
      </c>
      <c r="AN53" s="263">
        <f t="shared" si="37"/>
        <v>0</v>
      </c>
      <c r="AO53" s="264">
        <f t="shared" si="38"/>
        <v>0</v>
      </c>
      <c r="AP53" s="288">
        <f>IF(BI53&gt;0,1,0)</f>
        <v>0</v>
      </c>
      <c r="AQ53" s="277">
        <f>IF(BI53&lt;0,1,0)</f>
        <v>0</v>
      </c>
      <c r="AR53" s="302"/>
      <c r="AT53" s="278"/>
      <c r="AU53" s="229"/>
      <c r="AV53" s="213"/>
      <c r="AW53" s="213"/>
      <c r="AX53" s="213"/>
      <c r="AY53" s="292">
        <f>IF(BI53&gt;0,1,0)</f>
        <v>0</v>
      </c>
      <c r="AZ53" s="280">
        <f>IF(BI53&lt;0,1,0)</f>
        <v>0</v>
      </c>
      <c r="BA53" s="293"/>
      <c r="BB53" s="303"/>
      <c r="BC53" s="216">
        <f t="shared" si="39"/>
        <v>0</v>
      </c>
      <c r="BD53" s="216">
        <f t="shared" si="40"/>
        <v>0</v>
      </c>
      <c r="BE53" s="216">
        <f t="shared" si="41"/>
        <v>0</v>
      </c>
      <c r="BF53" s="216">
        <f t="shared" si="42"/>
        <v>0</v>
      </c>
      <c r="BG53" s="216">
        <f t="shared" si="43"/>
        <v>0</v>
      </c>
      <c r="BH53" s="216" t="str">
        <f t="shared" si="44"/>
        <v>M</v>
      </c>
      <c r="BI53" s="216">
        <f t="shared" si="45"/>
        <v>0</v>
      </c>
      <c r="BJ53" s="216"/>
      <c r="BK53" s="216"/>
      <c r="BL53" s="216" t="e">
        <f t="shared" si="46"/>
        <v>#VALUE!</v>
      </c>
      <c r="BM53" s="216">
        <f t="shared" si="47"/>
        <v>0</v>
      </c>
      <c r="BN53" s="216"/>
      <c r="BO53" s="257"/>
      <c r="BQ53" s="200"/>
      <c r="BR53" s="225"/>
      <c r="BS53" s="225"/>
      <c r="BT53" s="225"/>
      <c r="BU53" s="225"/>
      <c r="BV53" s="225"/>
      <c r="BW53" s="225"/>
      <c r="BX53" s="225"/>
      <c r="BY53" s="225"/>
      <c r="BZ53" s="225"/>
      <c r="CA53" s="225"/>
      <c r="CB53" s="225"/>
      <c r="CC53" s="225"/>
      <c r="CD53" s="225"/>
      <c r="CE53" s="225"/>
      <c r="CF53" s="226">
        <f t="shared" si="26"/>
        <v>0</v>
      </c>
      <c r="CG53" s="219">
        <f t="shared" si="27"/>
        <v>0</v>
      </c>
      <c r="CH53" s="246"/>
      <c r="CI53" s="246"/>
      <c r="CJ53" s="246"/>
      <c r="CK53" s="246"/>
      <c r="CL53" s="246"/>
      <c r="CM53" s="246"/>
      <c r="CN53" s="246"/>
      <c r="CO53" s="246"/>
      <c r="CP53" s="246"/>
      <c r="CQ53" s="246"/>
      <c r="CR53" s="246"/>
      <c r="CS53" s="246"/>
      <c r="CT53" s="246"/>
      <c r="CU53" s="246"/>
      <c r="CV53" s="246"/>
      <c r="CW53" s="246"/>
      <c r="CX53" s="246"/>
      <c r="CY53" s="226"/>
      <c r="CZ53" s="246"/>
      <c r="DA53" s="229"/>
      <c r="DB53" s="229"/>
      <c r="DC53" s="229"/>
      <c r="DD53" s="229"/>
      <c r="DE53" s="229"/>
      <c r="DF53" s="229"/>
      <c r="DG53" s="229"/>
      <c r="DH53" s="246"/>
      <c r="DI53" s="229"/>
      <c r="DJ53" s="229"/>
      <c r="DK53" s="229"/>
      <c r="DL53" s="229"/>
      <c r="DM53" s="246"/>
      <c r="DN53" s="229"/>
      <c r="DO53" s="229"/>
      <c r="DP53" s="229"/>
      <c r="DQ53" s="229"/>
      <c r="DR53" s="229"/>
      <c r="DS53" s="229"/>
      <c r="DT53" s="225"/>
      <c r="DU53" s="226"/>
      <c r="DV53" s="226"/>
      <c r="DW53" s="226"/>
      <c r="DX53" s="226"/>
      <c r="DY53" s="226"/>
      <c r="DZ53" s="229"/>
      <c r="EA53" s="225"/>
      <c r="EH53" s="246"/>
      <c r="EI53" s="246"/>
      <c r="EJ53" s="246"/>
      <c r="EK53" s="246"/>
      <c r="EL53" s="246"/>
      <c r="EM53" s="246"/>
      <c r="EN53" s="226">
        <f>SUM(EI53:EM53)</f>
        <v>0</v>
      </c>
      <c r="EO53" s="213"/>
      <c r="EP53" s="213"/>
      <c r="EQ53" s="213"/>
      <c r="ER53" s="213"/>
      <c r="ES53" s="213"/>
      <c r="ET53" s="213"/>
      <c r="EU53" s="213"/>
      <c r="EV53" s="246"/>
      <c r="EW53" s="229"/>
      <c r="EX53" s="229"/>
      <c r="EY53" s="226"/>
      <c r="EZ53" s="229"/>
      <c r="FA53" s="229"/>
      <c r="FB53" s="229"/>
      <c r="FC53" s="246"/>
      <c r="FD53" s="229"/>
      <c r="FE53" s="225"/>
      <c r="FF53" s="229"/>
      <c r="FG53" s="229"/>
      <c r="FH53" s="229"/>
      <c r="FI53" s="229"/>
      <c r="FJ53" s="213"/>
      <c r="FK53" s="213"/>
      <c r="FL53" s="213"/>
      <c r="FM53" s="213"/>
    </row>
    <row r="54" spans="1:169" ht="21.95" customHeight="1" thickBot="1" x14ac:dyDescent="0.25">
      <c r="A54" s="706" t="s">
        <v>230</v>
      </c>
      <c r="B54" s="707"/>
      <c r="C54" s="726" t="str">
        <f>IF($AB51&lt;6,"",IF($X52=1,C38,IF($Y52=1,C39,IF($Z52=1,C40,IF($AA52=1,C41)))))</f>
        <v/>
      </c>
      <c r="D54" s="727"/>
      <c r="E54" s="661" t="str">
        <f>IF(C54="","",VLOOKUP(C54,liste!$A$9:$G$145,2,FALSE))</f>
        <v/>
      </c>
      <c r="F54" s="662"/>
      <c r="G54" s="662"/>
      <c r="H54" s="662"/>
      <c r="I54" s="663"/>
      <c r="J54" s="546" t="str">
        <f>IF(C54="","",VLOOKUP(C54,liste!$A$9:$G$145,4,FALSE))</f>
        <v/>
      </c>
      <c r="K54" s="661" t="str">
        <f>IF(C54="","",VLOOKUP(C54,liste!$A$9:$G$145,3,FALSE))</f>
        <v/>
      </c>
      <c r="L54" s="662" t="e">
        <v>#REF!</v>
      </c>
      <c r="M54" s="662" t="e">
        <v>#N/A</v>
      </c>
      <c r="N54" s="663" t="e">
        <v>#REF!</v>
      </c>
      <c r="O54" s="397"/>
      <c r="P54" s="702" t="s">
        <v>231</v>
      </c>
      <c r="Q54" s="702"/>
      <c r="R54" s="702"/>
      <c r="AA54" s="390"/>
      <c r="AC54" s="273">
        <f>IF(AF40&lt;&gt;" ",AF40," ")</f>
        <v>3</v>
      </c>
      <c r="AD54" s="274">
        <f>IF(AF41&lt;&gt;" ",AF41," ")</f>
        <v>4</v>
      </c>
      <c r="AE54" s="275" t="str">
        <f t="shared" si="28"/>
        <v xml:space="preserve"> </v>
      </c>
      <c r="AF54" s="261">
        <f t="shared" si="29"/>
        <v>0</v>
      </c>
      <c r="AG54" s="262">
        <f t="shared" si="30"/>
        <v>0</v>
      </c>
      <c r="AH54" s="259">
        <f t="shared" si="31"/>
        <v>0</v>
      </c>
      <c r="AI54" s="262">
        <f t="shared" si="32"/>
        <v>0</v>
      </c>
      <c r="AJ54" s="263">
        <f t="shared" si="33"/>
        <v>0</v>
      </c>
      <c r="AK54" s="262">
        <f t="shared" si="34"/>
        <v>0</v>
      </c>
      <c r="AL54" s="263">
        <f t="shared" si="35"/>
        <v>0</v>
      </c>
      <c r="AM54" s="262">
        <f t="shared" si="36"/>
        <v>0</v>
      </c>
      <c r="AN54" s="263">
        <f t="shared" si="37"/>
        <v>0</v>
      </c>
      <c r="AO54" s="264">
        <f t="shared" si="38"/>
        <v>0</v>
      </c>
      <c r="AP54" s="276"/>
      <c r="AR54" s="277">
        <f>IF(BI54&gt;0,1,0)</f>
        <v>0</v>
      </c>
      <c r="AS54" s="290">
        <f>IF(BI54&lt;0,1,0)</f>
        <v>0</v>
      </c>
      <c r="AT54" s="267"/>
      <c r="AU54" s="229"/>
      <c r="AV54" s="213"/>
      <c r="AW54" s="213"/>
      <c r="AX54" s="213"/>
      <c r="AY54" s="304"/>
      <c r="AZ54" s="305"/>
      <c r="BA54" s="306">
        <f>IF(BI54&gt;0,1,0)</f>
        <v>0</v>
      </c>
      <c r="BB54" s="306">
        <f>IF(BI54&lt;0,1,0)</f>
        <v>0</v>
      </c>
      <c r="BC54" s="307">
        <f t="shared" si="39"/>
        <v>0</v>
      </c>
      <c r="BD54" s="307">
        <f t="shared" si="40"/>
        <v>0</v>
      </c>
      <c r="BE54" s="307">
        <f t="shared" si="41"/>
        <v>0</v>
      </c>
      <c r="BF54" s="307">
        <f t="shared" si="42"/>
        <v>0</v>
      </c>
      <c r="BG54" s="307">
        <f t="shared" si="43"/>
        <v>0</v>
      </c>
      <c r="BH54" s="307" t="str">
        <f t="shared" si="44"/>
        <v>M</v>
      </c>
      <c r="BI54" s="307">
        <f t="shared" si="45"/>
        <v>0</v>
      </c>
      <c r="BJ54" s="307"/>
      <c r="BK54" s="307"/>
      <c r="BL54" s="307" t="e">
        <f t="shared" si="46"/>
        <v>#VALUE!</v>
      </c>
      <c r="BM54" s="307">
        <f t="shared" si="47"/>
        <v>0</v>
      </c>
      <c r="BN54" s="307"/>
      <c r="BO54" s="308"/>
      <c r="BQ54" s="200"/>
      <c r="BR54" s="225"/>
      <c r="BS54" s="225">
        <f>AE45</f>
        <v>0</v>
      </c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225"/>
      <c r="CW54" s="225"/>
      <c r="CX54" s="225"/>
      <c r="CY54" s="225"/>
      <c r="CZ54" s="225"/>
      <c r="DA54" s="226"/>
      <c r="DB54" s="226"/>
      <c r="DC54" s="226"/>
      <c r="DD54" s="226"/>
      <c r="DE54" s="226"/>
      <c r="DF54" s="226"/>
      <c r="DG54" s="225"/>
      <c r="DH54" s="225"/>
      <c r="DI54" s="226"/>
      <c r="DJ54" s="226"/>
      <c r="DK54" s="226"/>
      <c r="DL54" s="226"/>
      <c r="DM54" s="226"/>
      <c r="DN54" s="226"/>
      <c r="DO54" s="225"/>
      <c r="DP54" s="225"/>
      <c r="DQ54" s="226"/>
      <c r="DR54" s="226"/>
      <c r="DS54" s="226"/>
      <c r="DT54" s="213"/>
      <c r="DU54" s="213"/>
      <c r="DV54" s="213"/>
      <c r="DW54" s="213"/>
      <c r="DX54" s="213"/>
      <c r="DY54" s="213"/>
      <c r="DZ54" s="213"/>
      <c r="EA54" s="225"/>
      <c r="EB54" s="213"/>
      <c r="EC54" s="213"/>
      <c r="ED54" s="213"/>
      <c r="EE54" s="213"/>
      <c r="EF54" s="213"/>
      <c r="EG54" s="229"/>
      <c r="EH54" s="225"/>
      <c r="EI54" s="225"/>
      <c r="EJ54" s="225"/>
      <c r="EK54" s="225"/>
      <c r="EL54" s="225"/>
      <c r="EM54" s="225"/>
      <c r="EN54" s="225"/>
      <c r="EO54" s="213"/>
      <c r="EP54" s="213"/>
      <c r="EQ54" s="213"/>
      <c r="ER54" s="213"/>
      <c r="ES54" s="213"/>
      <c r="ET54" s="213"/>
      <c r="EU54" s="225"/>
      <c r="EV54" s="225"/>
      <c r="EW54" s="225"/>
      <c r="EX54" s="225"/>
      <c r="EY54" s="225"/>
      <c r="EZ54" s="225"/>
      <c r="FA54" s="225"/>
      <c r="FB54" s="225"/>
      <c r="FC54" s="225"/>
      <c r="FD54" s="225"/>
      <c r="FF54" s="225"/>
      <c r="FG54" s="225"/>
      <c r="FH54" s="225"/>
      <c r="FI54" s="225"/>
      <c r="FJ54" s="213"/>
      <c r="FK54" s="213"/>
      <c r="FL54" s="213"/>
      <c r="FM54" s="213"/>
    </row>
    <row r="55" spans="1:169" ht="21.95" customHeight="1" thickTop="1" thickBot="1" x14ac:dyDescent="0.25">
      <c r="A55" s="732" t="s">
        <v>232</v>
      </c>
      <c r="B55" s="733"/>
      <c r="C55" s="734" t="str">
        <f>IF($AB51&lt;6,"",IF($X52=2,C38,IF($Y52=2,C39,IF($Z52=2,C40,IF($AA52=2,C41)))))</f>
        <v/>
      </c>
      <c r="D55" s="735"/>
      <c r="E55" s="664" t="str">
        <f>IF(C55="","",VLOOKUP(C55,liste!$A$9:$G$145,2,FALSE))</f>
        <v/>
      </c>
      <c r="F55" s="665"/>
      <c r="G55" s="665"/>
      <c r="H55" s="665"/>
      <c r="I55" s="666"/>
      <c r="J55" s="547" t="str">
        <f>IF(C55="","",VLOOKUP(C55,liste!$A$9:$G$145,4,FALSE))</f>
        <v/>
      </c>
      <c r="K55" s="664" t="str">
        <f>IF(C55="","",VLOOKUP(C55,liste!$A$9:$G$145,3,FALSE))</f>
        <v/>
      </c>
      <c r="L55" s="665" t="e">
        <v>#REF!</v>
      </c>
      <c r="M55" s="665" t="e">
        <v>#N/A</v>
      </c>
      <c r="N55" s="666" t="e">
        <v>#REF!</v>
      </c>
      <c r="P55" s="731">
        <f>$P$26</f>
        <v>0</v>
      </c>
      <c r="Q55" s="731"/>
      <c r="R55" s="731"/>
      <c r="S55" s="731"/>
      <c r="T55" s="731"/>
      <c r="U55" s="731"/>
      <c r="AA55" s="390"/>
      <c r="AC55" s="309"/>
      <c r="AD55" s="310"/>
      <c r="AE55" s="310"/>
      <c r="AF55" s="311"/>
      <c r="AG55" s="311"/>
      <c r="AH55" s="311"/>
      <c r="AI55" s="311"/>
      <c r="AJ55" s="312"/>
      <c r="AK55" s="312"/>
      <c r="AL55" s="313"/>
      <c r="AM55" s="312" t="s">
        <v>71</v>
      </c>
      <c r="AN55" s="311"/>
      <c r="AO55" s="314"/>
      <c r="AP55" s="315">
        <f>SUM(AP49:AP54)</f>
        <v>0</v>
      </c>
      <c r="AQ55" s="316">
        <f>SUM(AQ49:AQ54)</f>
        <v>0</v>
      </c>
      <c r="AR55" s="316">
        <f>SUM(AR49:AR54)</f>
        <v>0</v>
      </c>
      <c r="AS55" s="317">
        <f>SUM(AS49:AS54)</f>
        <v>0</v>
      </c>
      <c r="AT55" s="318">
        <f>SUM(AT49:AT54)</f>
        <v>0</v>
      </c>
      <c r="AU55" s="229"/>
      <c r="AV55" s="213"/>
      <c r="AW55" s="213"/>
      <c r="AX55" s="213"/>
      <c r="AY55" s="301"/>
      <c r="AZ55" s="301"/>
      <c r="BA55" s="301"/>
      <c r="BB55" s="301"/>
      <c r="BC55" s="301"/>
      <c r="BD55" s="229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5"/>
      <c r="BS55" s="225">
        <f>AE46</f>
        <v>0</v>
      </c>
      <c r="BT55" s="225"/>
      <c r="BU55" s="225"/>
      <c r="BV55" s="225"/>
      <c r="BW55" s="225"/>
      <c r="BX55" s="225"/>
      <c r="BY55" s="225"/>
      <c r="BZ55" s="225"/>
      <c r="CA55" s="225"/>
      <c r="CB55" s="225"/>
      <c r="CC55" s="225"/>
      <c r="CD55" s="225"/>
      <c r="CE55" s="225"/>
      <c r="CF55" s="225"/>
      <c r="CG55" s="225"/>
      <c r="CH55" s="225"/>
      <c r="CI55" s="225"/>
      <c r="CJ55" s="225"/>
      <c r="CK55" s="225"/>
      <c r="CL55" s="225"/>
      <c r="CM55" s="225"/>
      <c r="CN55" s="225"/>
      <c r="CO55" s="225"/>
      <c r="CP55" s="225"/>
      <c r="CQ55" s="225"/>
      <c r="CR55" s="225"/>
      <c r="CS55" s="225"/>
      <c r="CT55" s="225"/>
      <c r="CU55" s="225"/>
      <c r="CV55" s="225"/>
      <c r="CW55" s="225"/>
      <c r="CX55" s="225"/>
      <c r="CY55" s="225"/>
      <c r="CZ55" s="225"/>
      <c r="DA55" s="226"/>
      <c r="DB55" s="226"/>
      <c r="DC55" s="226"/>
      <c r="DD55" s="226"/>
      <c r="DE55" s="226"/>
      <c r="DF55" s="226"/>
      <c r="DG55" s="225"/>
      <c r="DH55" s="225"/>
      <c r="DI55" s="226"/>
      <c r="DJ55" s="226"/>
      <c r="DK55" s="226"/>
      <c r="DL55" s="226"/>
      <c r="DM55" s="226"/>
      <c r="DN55" s="226"/>
      <c r="DO55" s="225"/>
      <c r="DP55" s="225"/>
      <c r="DQ55" s="226"/>
      <c r="DR55" s="226"/>
      <c r="DS55" s="226"/>
      <c r="DT55" s="226"/>
      <c r="DU55" s="226"/>
      <c r="DV55" s="226"/>
      <c r="DW55" s="225"/>
      <c r="DX55" s="225"/>
      <c r="DY55" s="226"/>
      <c r="DZ55" s="226"/>
      <c r="EA55" s="213"/>
      <c r="EB55" s="226"/>
      <c r="EC55" s="226"/>
      <c r="ED55" s="226"/>
      <c r="EE55" s="225">
        <f>SUM(DY55:ED55)</f>
        <v>0</v>
      </c>
      <c r="EF55" s="225"/>
      <c r="EG55" s="213"/>
      <c r="EH55" s="225"/>
      <c r="EI55" s="225"/>
      <c r="EJ55" s="225"/>
      <c r="EK55" s="225"/>
      <c r="EL55" s="225"/>
      <c r="EM55" s="225"/>
      <c r="EN55" s="225"/>
      <c r="EO55" s="213"/>
      <c r="EP55" s="213"/>
      <c r="EQ55" s="213"/>
      <c r="ER55" s="213"/>
      <c r="ES55" s="213"/>
      <c r="ET55" s="213"/>
      <c r="EU55" s="225"/>
      <c r="EV55" s="225"/>
      <c r="EW55" s="213"/>
      <c r="EX55" s="213"/>
      <c r="EY55" s="213"/>
      <c r="EZ55" s="213"/>
      <c r="FA55" s="213"/>
      <c r="FB55" s="213"/>
      <c r="FC55" s="225"/>
      <c r="FD55" s="225"/>
      <c r="FE55" s="225"/>
      <c r="FF55" s="225"/>
      <c r="FG55" s="225"/>
      <c r="FH55" s="225"/>
      <c r="FI55" s="225"/>
      <c r="FJ55" s="213"/>
      <c r="FK55" s="213"/>
      <c r="FL55" s="213"/>
      <c r="FM55" s="213"/>
    </row>
    <row r="56" spans="1:169" ht="21.95" customHeight="1" thickTop="1" x14ac:dyDescent="0.2">
      <c r="A56" s="732" t="s">
        <v>233</v>
      </c>
      <c r="B56" s="733"/>
      <c r="C56" s="734" t="str">
        <f>IF($AB51&lt;6,"",IF($X52=3,C38,IF($Y52=3,C39,IF($Z52=3,C40,IF($AA52=3,C41)))))</f>
        <v/>
      </c>
      <c r="D56" s="735"/>
      <c r="E56" s="664" t="str">
        <f>IF(C56="","",VLOOKUP(C56,liste!$A$9:$G$145,2,FALSE))</f>
        <v/>
      </c>
      <c r="F56" s="665"/>
      <c r="G56" s="665"/>
      <c r="H56" s="665"/>
      <c r="I56" s="666"/>
      <c r="J56" s="547" t="str">
        <f>IF(C56="","",VLOOKUP(C56,liste!$A$9:$G$145,4,FALSE))</f>
        <v/>
      </c>
      <c r="K56" s="664" t="str">
        <f>IF(C56="","",VLOOKUP(C56,liste!$A$9:$G$145,3,FALSE))</f>
        <v/>
      </c>
      <c r="L56" s="665" t="e">
        <v>#REF!</v>
      </c>
      <c r="M56" s="665" t="e">
        <v>#N/A</v>
      </c>
      <c r="N56" s="666" t="e">
        <v>#REF!</v>
      </c>
      <c r="AA56" s="390"/>
      <c r="AU56" s="229"/>
      <c r="AV56" s="213"/>
      <c r="AW56" s="213"/>
      <c r="AX56" s="213"/>
      <c r="AY56" s="301"/>
      <c r="AZ56" s="301"/>
      <c r="BA56" s="301"/>
      <c r="BB56" s="301"/>
      <c r="BC56" s="301"/>
      <c r="BD56" s="229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6"/>
      <c r="BR56" s="225"/>
      <c r="BS56" s="225"/>
      <c r="BT56" s="225"/>
      <c r="BU56" s="225"/>
      <c r="BV56" s="225"/>
      <c r="BW56" s="225"/>
      <c r="BX56" s="225"/>
      <c r="BY56" s="225"/>
      <c r="BZ56" s="225"/>
      <c r="CA56" s="225"/>
      <c r="CB56" s="225"/>
      <c r="CC56" s="225"/>
      <c r="CD56" s="225"/>
      <c r="CE56" s="225"/>
      <c r="CF56" s="225"/>
      <c r="CG56" s="225"/>
      <c r="CH56" s="225"/>
      <c r="CI56" s="225"/>
      <c r="CJ56" s="225"/>
      <c r="CK56" s="225"/>
      <c r="CL56" s="225"/>
      <c r="CM56" s="225"/>
      <c r="CN56" s="225"/>
      <c r="CO56" s="225"/>
      <c r="CP56" s="225"/>
      <c r="CQ56" s="225"/>
      <c r="CR56" s="225"/>
      <c r="CS56" s="225"/>
      <c r="CT56" s="225"/>
      <c r="CU56" s="225"/>
      <c r="CV56" s="225"/>
      <c r="CW56" s="225"/>
      <c r="CX56" s="225"/>
      <c r="CY56" s="225"/>
      <c r="CZ56" s="225"/>
      <c r="DA56" s="226"/>
      <c r="DB56" s="226"/>
      <c r="DC56" s="226"/>
      <c r="DD56" s="226"/>
      <c r="DE56" s="226"/>
      <c r="DF56" s="226"/>
      <c r="DG56" s="225"/>
      <c r="DH56" s="225"/>
      <c r="DI56" s="226"/>
      <c r="DJ56" s="226"/>
      <c r="DK56" s="226"/>
      <c r="DL56" s="226"/>
      <c r="DM56" s="226"/>
      <c r="DN56" s="226"/>
      <c r="DO56" s="225"/>
      <c r="DP56" s="225"/>
      <c r="DQ56" s="226"/>
      <c r="DR56" s="226"/>
      <c r="DS56" s="226"/>
      <c r="DT56" s="226"/>
      <c r="DU56" s="226"/>
      <c r="DV56" s="226"/>
      <c r="DW56" s="225"/>
      <c r="DX56" s="225"/>
      <c r="DY56" s="226"/>
      <c r="DZ56" s="226"/>
      <c r="EA56" s="226"/>
      <c r="EB56" s="226"/>
      <c r="EC56" s="226"/>
      <c r="ED56" s="226"/>
      <c r="EE56" s="225">
        <f>SUM(DY56:ED56)</f>
        <v>0</v>
      </c>
      <c r="EF56" s="225"/>
      <c r="EG56" s="218"/>
      <c r="EH56" s="218"/>
      <c r="EI56" s="218"/>
      <c r="EJ56" s="218"/>
      <c r="EK56" s="218"/>
      <c r="EL56" s="218"/>
      <c r="EM56" s="225"/>
      <c r="EN56" s="225"/>
      <c r="EO56" s="225"/>
      <c r="EP56" s="225"/>
      <c r="EQ56" s="225"/>
      <c r="ER56" s="225"/>
      <c r="ES56" s="225"/>
      <c r="ET56" s="225"/>
      <c r="EU56" s="225"/>
      <c r="EV56" s="225"/>
      <c r="EW56" s="225"/>
      <c r="EX56" s="225"/>
      <c r="EY56" s="225"/>
      <c r="EZ56" s="225"/>
      <c r="FA56" s="225"/>
      <c r="FB56" s="225"/>
      <c r="FC56" s="225"/>
      <c r="FD56" s="225"/>
      <c r="FE56" s="225"/>
      <c r="FF56" s="225"/>
      <c r="FG56" s="225"/>
      <c r="FH56" s="225"/>
      <c r="FI56" s="225"/>
      <c r="FJ56" s="213"/>
      <c r="FK56" s="213"/>
      <c r="FL56" s="213"/>
      <c r="FM56" s="213"/>
    </row>
    <row r="57" spans="1:169" ht="21.95" customHeight="1" thickBot="1" x14ac:dyDescent="0.25">
      <c r="A57" s="716" t="s">
        <v>234</v>
      </c>
      <c r="B57" s="717"/>
      <c r="C57" s="739" t="str">
        <f>IF($AB51&lt;6,"",IF($X52=4,C38,IF($Y52=4,C39,IF($Z52=4,C40,IF(AA52=4,C41)))))</f>
        <v/>
      </c>
      <c r="D57" s="740"/>
      <c r="E57" s="658" t="str">
        <f>IF(C57="","",VLOOKUP(C57,liste!$A$9:$G$145,2,FALSE))</f>
        <v/>
      </c>
      <c r="F57" s="659"/>
      <c r="G57" s="659"/>
      <c r="H57" s="659"/>
      <c r="I57" s="660"/>
      <c r="J57" s="548" t="str">
        <f>IF(C57="","",VLOOKUP(C57,liste!$A$9:$G$145,4,FALSE))</f>
        <v/>
      </c>
      <c r="K57" s="658" t="str">
        <f>IF(C57="","",VLOOKUP(C57,liste!$A$9:$G$145,3,FALSE))</f>
        <v/>
      </c>
      <c r="L57" s="659" t="e">
        <v>#REF!</v>
      </c>
      <c r="M57" s="659" t="e">
        <v>#N/A</v>
      </c>
      <c r="N57" s="660" t="e">
        <v>#REF!</v>
      </c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U57" s="229"/>
      <c r="AV57" s="213"/>
      <c r="AW57" s="213"/>
      <c r="AX57" s="213"/>
      <c r="AY57" s="301"/>
      <c r="AZ57" s="301"/>
      <c r="BA57" s="301"/>
      <c r="BB57" s="301"/>
      <c r="BC57" s="301"/>
      <c r="BD57" s="229"/>
      <c r="BE57" s="226"/>
      <c r="BF57" s="226"/>
      <c r="BG57" s="226"/>
      <c r="BH57" s="226"/>
      <c r="BI57" s="226"/>
      <c r="BJ57" s="226"/>
      <c r="BK57" s="226"/>
      <c r="BL57" s="226"/>
      <c r="BM57" s="226"/>
      <c r="BN57" s="226"/>
      <c r="BO57" s="226"/>
      <c r="BP57" s="226"/>
      <c r="BQ57" s="226"/>
      <c r="BR57" s="225"/>
      <c r="BS57" s="225"/>
      <c r="BT57" s="225"/>
      <c r="BU57" s="225"/>
      <c r="BV57" s="225"/>
      <c r="BW57" s="225"/>
      <c r="BX57" s="225"/>
      <c r="BY57" s="225"/>
      <c r="BZ57" s="225"/>
      <c r="CA57" s="225"/>
      <c r="CB57" s="225"/>
      <c r="CC57" s="225"/>
      <c r="CD57" s="225"/>
      <c r="CE57" s="225"/>
      <c r="CF57" s="218"/>
      <c r="CG57" s="218"/>
      <c r="CH57" s="225"/>
      <c r="CI57" s="225"/>
      <c r="CJ57" s="225"/>
      <c r="CK57" s="225"/>
      <c r="CL57" s="225"/>
      <c r="CM57" s="225"/>
      <c r="CN57" s="225"/>
      <c r="CO57" s="225"/>
      <c r="CP57" s="225"/>
      <c r="CQ57" s="225"/>
      <c r="CR57" s="225"/>
      <c r="CS57" s="225" t="s">
        <v>5</v>
      </c>
      <c r="CT57" s="225" t="s">
        <v>5</v>
      </c>
      <c r="CU57" s="225"/>
      <c r="CV57" s="225"/>
      <c r="CW57" s="225" t="s">
        <v>5</v>
      </c>
      <c r="CX57" s="225" t="s">
        <v>5</v>
      </c>
      <c r="CY57" s="225"/>
      <c r="CZ57" s="225"/>
      <c r="DA57" s="226" t="s">
        <v>5</v>
      </c>
      <c r="DB57" s="226" t="s">
        <v>5</v>
      </c>
      <c r="DC57" s="226"/>
      <c r="DD57" s="226"/>
      <c r="DE57" s="226" t="s">
        <v>5</v>
      </c>
      <c r="DF57" s="226" t="s">
        <v>5</v>
      </c>
      <c r="DG57" s="225"/>
      <c r="DH57" s="225"/>
      <c r="DI57" s="226" t="s">
        <v>5</v>
      </c>
      <c r="DJ57" s="226" t="s">
        <v>5</v>
      </c>
      <c r="DK57" s="226"/>
      <c r="DL57" s="226"/>
      <c r="DM57" s="226" t="s">
        <v>5</v>
      </c>
      <c r="DN57" s="226" t="s">
        <v>5</v>
      </c>
      <c r="DO57" s="225"/>
      <c r="DP57" s="225"/>
      <c r="DQ57" s="226" t="s">
        <v>5</v>
      </c>
      <c r="DR57" s="226" t="s">
        <v>5</v>
      </c>
      <c r="DS57" s="226"/>
      <c r="DT57" s="226"/>
      <c r="DU57" s="226" t="s">
        <v>5</v>
      </c>
      <c r="DV57" s="226" t="s">
        <v>5</v>
      </c>
      <c r="DW57" s="225"/>
      <c r="DX57" s="225"/>
      <c r="DY57" s="226" t="s">
        <v>5</v>
      </c>
      <c r="DZ57" s="226" t="s">
        <v>70</v>
      </c>
      <c r="EA57" s="226" t="s">
        <v>5</v>
      </c>
      <c r="EB57" s="226"/>
      <c r="EC57" s="226"/>
      <c r="ED57" s="226" t="s">
        <v>5</v>
      </c>
      <c r="EE57" s="225">
        <f>SUM(DY57:ED57)</f>
        <v>0</v>
      </c>
      <c r="EF57" s="225"/>
      <c r="EG57" s="225"/>
      <c r="EH57" s="225"/>
      <c r="EI57" s="225"/>
      <c r="EJ57" s="225"/>
      <c r="EK57" s="225"/>
      <c r="EL57" s="225"/>
      <c r="EM57" s="225"/>
      <c r="EN57" s="225"/>
      <c r="EO57" s="225" t="s">
        <v>5</v>
      </c>
      <c r="EP57" s="225" t="s">
        <v>70</v>
      </c>
      <c r="EQ57" s="225" t="s">
        <v>5</v>
      </c>
      <c r="ER57" s="225"/>
      <c r="ES57" s="225"/>
      <c r="ET57" s="225" t="s">
        <v>5</v>
      </c>
      <c r="EU57" s="225"/>
      <c r="EV57" s="225"/>
      <c r="EW57" s="225" t="s">
        <v>5</v>
      </c>
      <c r="EX57" s="225" t="s">
        <v>5</v>
      </c>
      <c r="EY57" s="225"/>
      <c r="EZ57" s="225"/>
      <c r="FA57" s="225" t="s">
        <v>5</v>
      </c>
      <c r="FB57" s="225" t="s">
        <v>5</v>
      </c>
      <c r="FC57" s="225"/>
      <c r="FD57" s="225"/>
      <c r="FE57" s="225"/>
      <c r="FF57" s="225"/>
      <c r="FG57" s="225"/>
      <c r="FH57" s="225"/>
      <c r="FI57" s="225"/>
      <c r="FJ57" s="213"/>
      <c r="FK57" s="213"/>
      <c r="FL57" s="213"/>
      <c r="FM57" s="213"/>
    </row>
  </sheetData>
  <sheetProtection sheet="1" objects="1" scenarios="1" selectLockedCells="1"/>
  <mergeCells count="148">
    <mergeCell ref="A1:AA2"/>
    <mergeCell ref="F33:J33"/>
    <mergeCell ref="Y35:Z35"/>
    <mergeCell ref="A30:AA31"/>
    <mergeCell ref="A55:B55"/>
    <mergeCell ref="C54:D54"/>
    <mergeCell ref="C55:D55"/>
    <mergeCell ref="K54:N54"/>
    <mergeCell ref="A54:B54"/>
    <mergeCell ref="F40:H40"/>
    <mergeCell ref="C41:E41"/>
    <mergeCell ref="F35:K35"/>
    <mergeCell ref="F37:H37"/>
    <mergeCell ref="I40:N40"/>
    <mergeCell ref="O40:P40"/>
    <mergeCell ref="O22:V22"/>
    <mergeCell ref="K25:N25"/>
    <mergeCell ref="K26:N26"/>
    <mergeCell ref="K27:N27"/>
    <mergeCell ref="K28:N28"/>
    <mergeCell ref="O38:P38"/>
    <mergeCell ref="I38:N38"/>
    <mergeCell ref="P26:U26"/>
    <mergeCell ref="A28:B28"/>
    <mergeCell ref="A56:B56"/>
    <mergeCell ref="C56:D56"/>
    <mergeCell ref="K55:N55"/>
    <mergeCell ref="K56:N56"/>
    <mergeCell ref="K57:N57"/>
    <mergeCell ref="A57:B57"/>
    <mergeCell ref="T4:Y4"/>
    <mergeCell ref="F6:K6"/>
    <mergeCell ref="C8:E8"/>
    <mergeCell ref="F8:H8"/>
    <mergeCell ref="I8:N8"/>
    <mergeCell ref="O8:P8"/>
    <mergeCell ref="Q8:Y8"/>
    <mergeCell ref="I41:N41"/>
    <mergeCell ref="I39:N39"/>
    <mergeCell ref="F41:H41"/>
    <mergeCell ref="P25:R25"/>
    <mergeCell ref="Y6:Z6"/>
    <mergeCell ref="O23:V23"/>
    <mergeCell ref="R14:V14"/>
    <mergeCell ref="O12:P12"/>
    <mergeCell ref="T33:Y33"/>
    <mergeCell ref="A27:B27"/>
    <mergeCell ref="C27:D27"/>
    <mergeCell ref="A9:B9"/>
    <mergeCell ref="F9:H9"/>
    <mergeCell ref="C39:E39"/>
    <mergeCell ref="C28:D28"/>
    <mergeCell ref="C37:E37"/>
    <mergeCell ref="C10:E10"/>
    <mergeCell ref="M20:Q20"/>
    <mergeCell ref="M21:Q21"/>
    <mergeCell ref="A38:B38"/>
    <mergeCell ref="A39:B39"/>
    <mergeCell ref="A10:B10"/>
    <mergeCell ref="C25:D25"/>
    <mergeCell ref="AC19:AD19"/>
    <mergeCell ref="Z10:AA10"/>
    <mergeCell ref="O10:P10"/>
    <mergeCell ref="Q10:Y10"/>
    <mergeCell ref="X14:AA14"/>
    <mergeCell ref="Q11:Y11"/>
    <mergeCell ref="Q12:Y12"/>
    <mergeCell ref="O11:P11"/>
    <mergeCell ref="I11:N11"/>
    <mergeCell ref="Z12:AA12"/>
    <mergeCell ref="G16:K16"/>
    <mergeCell ref="G17:K17"/>
    <mergeCell ref="G18:K18"/>
    <mergeCell ref="F11:H11"/>
    <mergeCell ref="I12:N12"/>
    <mergeCell ref="Z11:AA11"/>
    <mergeCell ref="M16:Q16"/>
    <mergeCell ref="M17:Q17"/>
    <mergeCell ref="M18:Q18"/>
    <mergeCell ref="M19:Q19"/>
    <mergeCell ref="F10:H10"/>
    <mergeCell ref="I10:N10"/>
    <mergeCell ref="AC48:AD48"/>
    <mergeCell ref="Z38:AA38"/>
    <mergeCell ref="Z39:AA39"/>
    <mergeCell ref="Q38:Y38"/>
    <mergeCell ref="X43:AA43"/>
    <mergeCell ref="Z41:AA41"/>
    <mergeCell ref="R43:V43"/>
    <mergeCell ref="Q39:Y39"/>
    <mergeCell ref="Q40:Y40"/>
    <mergeCell ref="M48:Q48"/>
    <mergeCell ref="O41:P41"/>
    <mergeCell ref="Z37:AA37"/>
    <mergeCell ref="Q41:Y41"/>
    <mergeCell ref="Z40:AA40"/>
    <mergeCell ref="O37:P37"/>
    <mergeCell ref="Q37:Y37"/>
    <mergeCell ref="O39:P39"/>
    <mergeCell ref="F12:H12"/>
    <mergeCell ref="C12:E12"/>
    <mergeCell ref="I37:N37"/>
    <mergeCell ref="Z8:AA8"/>
    <mergeCell ref="Z9:AA9"/>
    <mergeCell ref="O9:P9"/>
    <mergeCell ref="Q9:Y9"/>
    <mergeCell ref="A12:B12"/>
    <mergeCell ref="C9:E9"/>
    <mergeCell ref="F39:H39"/>
    <mergeCell ref="G45:K45"/>
    <mergeCell ref="G46:K46"/>
    <mergeCell ref="A40:B40"/>
    <mergeCell ref="A41:B41"/>
    <mergeCell ref="A11:B11"/>
    <mergeCell ref="A26:B26"/>
    <mergeCell ref="M45:Q45"/>
    <mergeCell ref="M46:Q46"/>
    <mergeCell ref="E25:I25"/>
    <mergeCell ref="E26:I26"/>
    <mergeCell ref="E27:I27"/>
    <mergeCell ref="E28:I28"/>
    <mergeCell ref="C40:E40"/>
    <mergeCell ref="C26:D26"/>
    <mergeCell ref="C38:E38"/>
    <mergeCell ref="F38:H38"/>
    <mergeCell ref="A25:B25"/>
    <mergeCell ref="E57:I57"/>
    <mergeCell ref="M49:Q49"/>
    <mergeCell ref="M50:Q50"/>
    <mergeCell ref="P55:U55"/>
    <mergeCell ref="O51:V51"/>
    <mergeCell ref="O52:V52"/>
    <mergeCell ref="P54:R54"/>
    <mergeCell ref="F4:J4"/>
    <mergeCell ref="G48:K48"/>
    <mergeCell ref="G49:K49"/>
    <mergeCell ref="G50:K50"/>
    <mergeCell ref="G19:K19"/>
    <mergeCell ref="G20:K20"/>
    <mergeCell ref="G21:K21"/>
    <mergeCell ref="E54:I54"/>
    <mergeCell ref="E55:I55"/>
    <mergeCell ref="E56:I56"/>
    <mergeCell ref="M47:Q47"/>
    <mergeCell ref="C11:E11"/>
    <mergeCell ref="I9:N9"/>
    <mergeCell ref="C57:D57"/>
    <mergeCell ref="G47:K47"/>
  </mergeCells>
  <phoneticPr fontId="0" type="noConversion"/>
  <conditionalFormatting sqref="A16:Q21 W16:AA21 A45:Q50 W45:AA50 S25 V25:AA26 U27:AA27 S54:AA54 O57:AA57 U56:AA56 P55:AA55 A3:AA3 A1 A32:AA32 A29:AA29 A30 A36:AA44 A33:C35 A5:AA5 A4:F4 K4:AA4 A7:AA15 AA6 A6:Y6 A51:AA52 O53:AA53 O54:O55 A54:N57 A22:AA23 O24:AA24 O25:P25 O26:U26 A25:N28 O28:AA28 AA33:AA35">
    <cfRule type="cellIs" dxfId="6" priority="5" stopIfTrue="1" operator="equal">
      <formula>0</formula>
    </cfRule>
  </conditionalFormatting>
  <conditionalFormatting sqref="P54">
    <cfRule type="cellIs" dxfId="5" priority="4" stopIfTrue="1" operator="equal">
      <formula>0</formula>
    </cfRule>
  </conditionalFormatting>
  <conditionalFormatting sqref="E17:E21">
    <cfRule type="expression" dxfId="4" priority="3">
      <formula>$E$16=0</formula>
    </cfRule>
  </conditionalFormatting>
  <conditionalFormatting sqref="E46:E50">
    <cfRule type="expression" dxfId="3" priority="2">
      <formula>$E$45=0</formula>
    </cfRule>
  </conditionalFormatting>
  <conditionalFormatting sqref="D34:Z34 D33:F33 K33:Z33 D35:Y35">
    <cfRule type="cellIs" dxfId="2" priority="1" stopIfTrue="1" operator="equal">
      <formula>0</formula>
    </cfRule>
  </conditionalFormatting>
  <printOptions horizontalCentered="1" verticalCentered="1"/>
  <pageMargins left="0.23" right="0.14000000000000001" top="0.15" bottom="0.39370078740157483" header="0.4921259845" footer="0.4921259845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AB43"/>
  <sheetViews>
    <sheetView showGridLines="0" showZeros="0" tabSelected="1" view="pageBreakPreview" zoomScale="60" zoomScaleNormal="75" workbookViewId="0">
      <selection sqref="A1:AA2"/>
    </sheetView>
  </sheetViews>
  <sheetFormatPr baseColWidth="10" defaultColWidth="11.5703125" defaultRowHeight="12.75" x14ac:dyDescent="0.2"/>
  <cols>
    <col min="1" max="3" width="2.7109375" style="82" customWidth="1"/>
    <col min="4" max="4" width="4.7109375" style="82" customWidth="1"/>
    <col min="5" max="5" width="9.85546875" style="82" customWidth="1"/>
    <col min="6" max="6" width="6.7109375" style="82" customWidth="1"/>
    <col min="7" max="7" width="3.7109375" style="82" customWidth="1"/>
    <col min="8" max="11" width="7.7109375" style="82" customWidth="1"/>
    <col min="12" max="12" width="11.42578125" style="82" customWidth="1"/>
    <col min="13" max="16" width="7.7109375" style="82" customWidth="1"/>
    <col min="17" max="17" width="3.7109375" style="82" customWidth="1"/>
    <col min="18" max="22" width="4.28515625" style="82" customWidth="1"/>
    <col min="23" max="23" width="1.7109375" style="82" customWidth="1"/>
    <col min="24" max="27" width="5.7109375" style="82" customWidth="1"/>
    <col min="28" max="16384" width="11.5703125" style="82"/>
  </cols>
  <sheetData>
    <row r="1" spans="1:28" ht="30.6" customHeight="1" x14ac:dyDescent="0.2">
      <c r="A1" s="753" t="str">
        <f>Rens!A1</f>
        <v>Circuit Décathlon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</row>
    <row r="2" spans="1:28" ht="30.95" customHeight="1" x14ac:dyDescent="0.2">
      <c r="A2" s="753"/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  <c r="N2" s="753"/>
      <c r="O2" s="753"/>
      <c r="P2" s="753"/>
      <c r="Q2" s="753"/>
      <c r="R2" s="753"/>
      <c r="S2" s="753"/>
      <c r="T2" s="753"/>
      <c r="U2" s="753"/>
      <c r="V2" s="753"/>
      <c r="W2" s="753"/>
      <c r="X2" s="753"/>
      <c r="Y2" s="753"/>
      <c r="Z2" s="753"/>
      <c r="AA2" s="753"/>
      <c r="AB2" s="114"/>
    </row>
    <row r="3" spans="1:28" ht="30.95" customHeight="1" x14ac:dyDescent="0.2">
      <c r="A3" s="754" t="str">
        <f>Rens!B3</f>
        <v>FEM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754"/>
      <c r="S3" s="754"/>
      <c r="T3" s="754"/>
      <c r="U3" s="754"/>
      <c r="V3" s="754"/>
      <c r="W3" s="754"/>
      <c r="X3" s="754"/>
      <c r="Y3" s="754"/>
      <c r="Z3" s="754"/>
      <c r="AA3" s="754"/>
      <c r="AB3" s="114"/>
    </row>
    <row r="4" spans="1:28" ht="30.95" customHeight="1" x14ac:dyDescent="0.2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114"/>
    </row>
    <row r="5" spans="1:28" s="358" customFormat="1" ht="30.95" customHeight="1" x14ac:dyDescent="0.2">
      <c r="A5" s="383"/>
      <c r="B5" s="383"/>
      <c r="D5" s="819" t="s">
        <v>6</v>
      </c>
      <c r="E5" s="819"/>
      <c r="F5" s="820" t="str">
        <f>Rens!B2</f>
        <v>Parigné l'évêque</v>
      </c>
      <c r="G5" s="820"/>
      <c r="H5" s="820"/>
      <c r="I5" s="820"/>
      <c r="J5" s="820"/>
      <c r="K5" s="820"/>
      <c r="L5" s="820"/>
      <c r="M5" s="820"/>
      <c r="N5" s="820"/>
      <c r="O5" s="384"/>
      <c r="Q5" s="819" t="s">
        <v>7</v>
      </c>
      <c r="R5" s="819"/>
      <c r="S5" s="819"/>
      <c r="T5" s="818">
        <f>Rens!B4</f>
        <v>43421</v>
      </c>
      <c r="U5" s="818"/>
      <c r="V5" s="818"/>
      <c r="W5" s="818"/>
      <c r="X5" s="818"/>
      <c r="Y5" s="818"/>
      <c r="Z5" s="818"/>
      <c r="AA5" s="446"/>
      <c r="AB5" s="446"/>
    </row>
    <row r="6" spans="1:28" ht="30.95" customHeight="1" x14ac:dyDescent="0.2">
      <c r="A6" s="196"/>
      <c r="B6" s="196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199"/>
      <c r="P6" s="199"/>
      <c r="Q6" s="199"/>
      <c r="R6" s="200"/>
      <c r="S6" s="200"/>
      <c r="T6" s="378"/>
      <c r="U6" s="378"/>
      <c r="V6" s="378"/>
      <c r="W6" s="378"/>
      <c r="X6" s="378"/>
      <c r="Y6" s="378"/>
      <c r="Z6" s="378"/>
      <c r="AA6" s="114"/>
      <c r="AB6" s="114"/>
    </row>
    <row r="7" spans="1:28" ht="30.95" customHeight="1" x14ac:dyDescent="0.2">
      <c r="A7" s="445"/>
      <c r="B7" s="196"/>
      <c r="C7" s="196"/>
      <c r="D7" s="821"/>
      <c r="E7" s="821"/>
      <c r="F7" s="385"/>
      <c r="G7" s="385"/>
      <c r="H7" s="385"/>
      <c r="I7" s="385"/>
      <c r="J7" s="385"/>
      <c r="K7" s="754" t="s">
        <v>2</v>
      </c>
      <c r="L7" s="754"/>
      <c r="M7" s="379" t="str">
        <f>'Poules A-B'!$M$6</f>
        <v>A</v>
      </c>
      <c r="N7" s="380"/>
      <c r="O7" s="817" t="s">
        <v>188</v>
      </c>
      <c r="P7" s="817"/>
      <c r="Q7" s="813">
        <f>'Poules A-B'!Q6</f>
        <v>0</v>
      </c>
      <c r="R7" s="813"/>
      <c r="S7" s="813"/>
      <c r="T7" s="199"/>
      <c r="U7" s="702"/>
      <c r="V7" s="702"/>
      <c r="W7" s="702"/>
      <c r="X7" s="702"/>
      <c r="Y7" s="822"/>
      <c r="Z7" s="822"/>
      <c r="AA7" s="447"/>
      <c r="AB7" s="114"/>
    </row>
    <row r="8" spans="1:28" ht="30.95" customHeight="1" thickBot="1" x14ac:dyDescent="0.25">
      <c r="A8" s="196"/>
      <c r="B8" s="196"/>
      <c r="C8" s="196"/>
      <c r="D8" s="196"/>
      <c r="E8" s="196"/>
      <c r="F8" s="196"/>
      <c r="G8" s="196"/>
      <c r="H8" s="114"/>
      <c r="I8" s="114"/>
      <c r="J8" s="114"/>
      <c r="K8" s="114"/>
      <c r="L8" s="114"/>
      <c r="M8" s="114"/>
      <c r="N8" s="114"/>
      <c r="O8" s="197"/>
      <c r="P8" s="197"/>
      <c r="Q8" s="197"/>
      <c r="R8" s="197"/>
      <c r="S8" s="197"/>
      <c r="T8" s="197"/>
      <c r="U8" s="197"/>
      <c r="V8" s="197"/>
      <c r="W8" s="197"/>
      <c r="X8" s="114"/>
      <c r="Y8" s="114"/>
      <c r="Z8" s="114"/>
      <c r="AA8" s="114"/>
      <c r="AB8" s="114"/>
    </row>
    <row r="9" spans="1:28" ht="30.95" customHeight="1" thickBot="1" x14ac:dyDescent="0.25">
      <c r="A9" s="200"/>
      <c r="B9" s="200"/>
      <c r="C9" s="755" t="s">
        <v>8</v>
      </c>
      <c r="D9" s="756"/>
      <c r="E9" s="757"/>
      <c r="F9" s="755" t="s">
        <v>16</v>
      </c>
      <c r="G9" s="756"/>
      <c r="H9" s="757"/>
      <c r="I9" s="755" t="s">
        <v>20</v>
      </c>
      <c r="J9" s="756"/>
      <c r="K9" s="756"/>
      <c r="L9" s="756"/>
      <c r="M9" s="756"/>
      <c r="N9" s="757"/>
      <c r="O9" s="755" t="s">
        <v>4</v>
      </c>
      <c r="P9" s="757"/>
      <c r="Q9" s="755" t="s">
        <v>12</v>
      </c>
      <c r="R9" s="756"/>
      <c r="S9" s="756"/>
      <c r="T9" s="756"/>
      <c r="U9" s="756"/>
      <c r="V9" s="756"/>
      <c r="W9" s="756"/>
      <c r="X9" s="756"/>
      <c r="Y9" s="757"/>
      <c r="Z9" s="755" t="s">
        <v>174</v>
      </c>
      <c r="AA9" s="787"/>
    </row>
    <row r="10" spans="1:28" ht="30.95" customHeight="1" x14ac:dyDescent="0.2">
      <c r="A10" s="778">
        <v>1</v>
      </c>
      <c r="B10" s="779"/>
      <c r="C10" s="764">
        <f>'Poules A-B'!$C$9</f>
        <v>1</v>
      </c>
      <c r="D10" s="765"/>
      <c r="E10" s="766"/>
      <c r="F10" s="782">
        <f>IF(C10="","",VLOOKUP(C10,liste!$A$9:$G$145,7,FALSE))</f>
        <v>7221216</v>
      </c>
      <c r="G10" s="783" t="e">
        <f>IF(F10="","",VLOOKUP(F10,liste!$A$9:$G$145,7,FALSE))</f>
        <v>#N/A</v>
      </c>
      <c r="H10" s="784" t="e">
        <f>IF(G10="","",VLOOKUP(G10,liste!$A$9:$G$145,7,FALSE))</f>
        <v>#N/A</v>
      </c>
      <c r="I10" s="767" t="str">
        <f>IF(C10="","",VLOOKUP(C10,liste!$A$9:$G$145,2,FALSE))</f>
        <v>GAUTIER Clemence</v>
      </c>
      <c r="J10" s="768"/>
      <c r="K10" s="768"/>
      <c r="L10" s="768"/>
      <c r="M10" s="768"/>
      <c r="N10" s="769"/>
      <c r="O10" s="773">
        <f>IF(C10="","",VLOOKUP(C10,liste!$A$9:$G$145,4,FALSE))</f>
        <v>5</v>
      </c>
      <c r="P10" s="774" t="str">
        <f>IF(J10="","",VLOOKUP(J10,liste!$A$9:$G$145,4,FALSE))</f>
        <v/>
      </c>
      <c r="Q10" s="775" t="str">
        <f>IF(C10="","",VLOOKUP(C10,liste!$A$9:$G$145,3,FALSE))</f>
        <v>LE GRAND LUCE USTT</v>
      </c>
      <c r="R10" s="776"/>
      <c r="S10" s="776"/>
      <c r="T10" s="776"/>
      <c r="U10" s="776"/>
      <c r="V10" s="776"/>
      <c r="W10" s="776"/>
      <c r="X10" s="776"/>
      <c r="Y10" s="777"/>
      <c r="Z10" s="788">
        <f>IF(C10="","",VLOOKUP(C10,liste!$A$9:$G$145,6,FALSE))</f>
        <v>500</v>
      </c>
      <c r="AA10" s="789" t="str">
        <f>IF(U10="","",VLOOKUP(U10,liste!$A$9:$G$145,4,FALSE))</f>
        <v/>
      </c>
    </row>
    <row r="11" spans="1:28" ht="30.95" customHeight="1" x14ac:dyDescent="0.2">
      <c r="A11" s="780">
        <v>2</v>
      </c>
      <c r="B11" s="781"/>
      <c r="C11" s="758">
        <f>'Poules A-B'!$C$10</f>
        <v>8</v>
      </c>
      <c r="D11" s="759"/>
      <c r="E11" s="760"/>
      <c r="F11" s="761">
        <f>IF(C11="","",VLOOKUP(C11,liste!$A$9:$G$145,7,FALSE))</f>
        <v>7223265</v>
      </c>
      <c r="G11" s="762" t="e">
        <f>IF(F11="","",VLOOKUP(F11,liste!$A$9:$G$145,7,FALSE))</f>
        <v>#N/A</v>
      </c>
      <c r="H11" s="763" t="e">
        <f>IF(G11="","",VLOOKUP(G11,liste!$A$9:$G$145,7,FALSE))</f>
        <v>#N/A</v>
      </c>
      <c r="I11" s="770" t="str">
        <f>IF(C11="","",VLOOKUP(C11,liste!$A$9:$G$145,2,FALSE))</f>
        <v>NEMETH Aryana</v>
      </c>
      <c r="J11" s="771"/>
      <c r="K11" s="771"/>
      <c r="L11" s="771"/>
      <c r="M11" s="771"/>
      <c r="N11" s="772"/>
      <c r="O11" s="792">
        <f>IF(C11="","",VLOOKUP(C11,liste!$A$9:$G$145,4,FALSE))</f>
        <v>5</v>
      </c>
      <c r="P11" s="793" t="str">
        <f>IF(J11="","",VLOOKUP(J11,liste!$A$9:$G$145,4,FALSE))</f>
        <v/>
      </c>
      <c r="Q11" s="807" t="str">
        <f>IF(C11="","",VLOOKUP(C11,liste!$A$9:$G$145,3,FALSE))</f>
        <v>LA FLECHE USF TT</v>
      </c>
      <c r="R11" s="808"/>
      <c r="S11" s="808"/>
      <c r="T11" s="808"/>
      <c r="U11" s="808"/>
      <c r="V11" s="808"/>
      <c r="W11" s="808"/>
      <c r="X11" s="808"/>
      <c r="Y11" s="809"/>
      <c r="Z11" s="785">
        <f>IF(C11="","",VLOOKUP(C11,liste!$A$9:$G$145,6,FALSE))</f>
        <v>500</v>
      </c>
      <c r="AA11" s="786" t="str">
        <f>IF(U11="","",VLOOKUP(U11,liste!$A$9:$G$145,4,FALSE))</f>
        <v/>
      </c>
    </row>
    <row r="12" spans="1:28" ht="30.95" customHeight="1" x14ac:dyDescent="0.2">
      <c r="A12" s="780">
        <v>3</v>
      </c>
      <c r="B12" s="781"/>
      <c r="C12" s="758">
        <f>'Poules A-B'!$C$11</f>
        <v>9</v>
      </c>
      <c r="D12" s="759"/>
      <c r="E12" s="760"/>
      <c r="F12" s="761">
        <f>IF(C12="","",VLOOKUP(C12,liste!$A$9:$G$145,7,FALSE))</f>
        <v>7220268</v>
      </c>
      <c r="G12" s="762" t="e">
        <f>IF(F12="","",VLOOKUP(F12,liste!$A$9:$G$145,7,FALSE))</f>
        <v>#N/A</v>
      </c>
      <c r="H12" s="763" t="e">
        <f>IF(G12="","",VLOOKUP(G12,liste!$A$9:$G$145,7,FALSE))</f>
        <v>#N/A</v>
      </c>
      <c r="I12" s="770" t="str">
        <f>IF(C12="","",VLOOKUP(C12,liste!$A$9:$G$145,2,FALSE))</f>
        <v>MONIER Perrine</v>
      </c>
      <c r="J12" s="771"/>
      <c r="K12" s="771"/>
      <c r="L12" s="771"/>
      <c r="M12" s="771"/>
      <c r="N12" s="772"/>
      <c r="O12" s="792">
        <f>IF(C12="","",VLOOKUP(C12,liste!$A$9:$G$145,4,FALSE))</f>
        <v>5</v>
      </c>
      <c r="P12" s="793" t="str">
        <f>IF(J12="","",VLOOKUP(J12,liste!$A$9:$G$145,4,FALSE))</f>
        <v/>
      </c>
      <c r="Q12" s="807" t="str">
        <f>IF(C12="","",VLOOKUP(C12,liste!$A$9:$G$145,3,FALSE))</f>
        <v>PARIGNE L'EVEQUE TTC</v>
      </c>
      <c r="R12" s="808"/>
      <c r="S12" s="808"/>
      <c r="T12" s="808"/>
      <c r="U12" s="808"/>
      <c r="V12" s="808"/>
      <c r="W12" s="808"/>
      <c r="X12" s="808"/>
      <c r="Y12" s="809"/>
      <c r="Z12" s="785">
        <f>IF(C12="","",VLOOKUP(C12,liste!$A$9:$G$145,6,FALSE))</f>
        <v>500</v>
      </c>
      <c r="AA12" s="786" t="str">
        <f>IF(U12="","",VLOOKUP(U12,liste!$A$9:$G$145,4,FALSE))</f>
        <v/>
      </c>
    </row>
    <row r="13" spans="1:28" ht="30.95" customHeight="1" thickBot="1" x14ac:dyDescent="0.25">
      <c r="A13" s="790">
        <v>4</v>
      </c>
      <c r="B13" s="791"/>
      <c r="C13" s="802">
        <f>'Poules A-B'!$C$12</f>
        <v>16</v>
      </c>
      <c r="D13" s="803"/>
      <c r="E13" s="804"/>
      <c r="F13" s="799">
        <f>IF(C13="","",VLOOKUP(C13,liste!$A$9:$G$145,7,FALSE))</f>
        <v>0</v>
      </c>
      <c r="G13" s="800" t="e">
        <f>IF(F13="","",VLOOKUP(F13,liste!$A$9:$G$145,7,FALSE))</f>
        <v>#N/A</v>
      </c>
      <c r="H13" s="801" t="e">
        <f>IF(G13="","",VLOOKUP(G13,liste!$A$9:$G$145,7,FALSE))</f>
        <v>#N/A</v>
      </c>
      <c r="I13" s="796">
        <f>IF(C13="","",VLOOKUP(C13,liste!$A$9:$G$145,2,FALSE))</f>
        <v>0</v>
      </c>
      <c r="J13" s="797"/>
      <c r="K13" s="797"/>
      <c r="L13" s="797"/>
      <c r="M13" s="797"/>
      <c r="N13" s="798"/>
      <c r="O13" s="794">
        <f>IF(C13="","",VLOOKUP(C13,liste!$A$9:$G$145,4,FALSE))</f>
        <v>0</v>
      </c>
      <c r="P13" s="795" t="str">
        <f>IF(J13="","",VLOOKUP(J13,liste!$A$9:$G$145,4,FALSE))</f>
        <v/>
      </c>
      <c r="Q13" s="810">
        <f>IF(C13="","",VLOOKUP(C13,liste!$A$9:$G$145,3,FALSE))</f>
        <v>0</v>
      </c>
      <c r="R13" s="811"/>
      <c r="S13" s="811"/>
      <c r="T13" s="811"/>
      <c r="U13" s="811"/>
      <c r="V13" s="811"/>
      <c r="W13" s="811"/>
      <c r="X13" s="811"/>
      <c r="Y13" s="812"/>
      <c r="Z13" s="805">
        <f>IF(C13="","",VLOOKUP(C13,liste!$A$9:$G$145,6,FALSE))</f>
        <v>0</v>
      </c>
      <c r="AA13" s="806" t="str">
        <f>IF(U13="","",VLOOKUP(U13,liste!$A$9:$G$145,4,FALSE))</f>
        <v/>
      </c>
    </row>
    <row r="14" spans="1:28" ht="40.5" customHeight="1" x14ac:dyDescent="0.2">
      <c r="A14" s="196"/>
      <c r="B14" s="196"/>
      <c r="C14" s="196"/>
      <c r="D14" s="196"/>
      <c r="E14" s="196"/>
      <c r="F14" s="196"/>
      <c r="G14" s="196"/>
      <c r="H14" s="114"/>
      <c r="I14" s="114"/>
      <c r="J14" s="114"/>
      <c r="K14" s="114"/>
      <c r="L14" s="114"/>
      <c r="M14" s="114"/>
      <c r="N14" s="114"/>
      <c r="O14" s="197"/>
      <c r="P14" s="197"/>
      <c r="Q14" s="197"/>
      <c r="R14" s="197"/>
      <c r="S14" s="197"/>
      <c r="T14" s="197"/>
      <c r="U14" s="197"/>
      <c r="V14" s="197"/>
      <c r="W14" s="197"/>
      <c r="X14" s="114"/>
      <c r="Y14" s="114"/>
      <c r="Z14" s="114"/>
      <c r="AA14" s="114"/>
      <c r="AB14" s="114"/>
    </row>
    <row r="15" spans="1:28" s="380" customFormat="1" ht="30.95" customHeight="1" x14ac:dyDescent="0.2">
      <c r="A15" s="444"/>
      <c r="B15" s="379"/>
      <c r="C15" s="379"/>
      <c r="D15" s="754"/>
      <c r="E15" s="754"/>
      <c r="K15" s="754" t="s">
        <v>2</v>
      </c>
      <c r="L15" s="754"/>
      <c r="M15" s="379" t="str">
        <f>+'Poules A-B'!$M$35</f>
        <v>B</v>
      </c>
      <c r="N15" s="205"/>
      <c r="O15" s="817" t="s">
        <v>188</v>
      </c>
      <c r="P15" s="817"/>
      <c r="Q15" s="813">
        <f>'Poules A-B'!Q35</f>
        <v>0</v>
      </c>
      <c r="R15" s="814"/>
      <c r="S15" s="379"/>
      <c r="T15" s="381"/>
      <c r="U15" s="381"/>
      <c r="V15" s="382"/>
      <c r="W15" s="381"/>
      <c r="X15" s="382"/>
      <c r="Z15" s="386"/>
      <c r="AA15" s="205"/>
      <c r="AB15" s="382"/>
    </row>
    <row r="16" spans="1:28" ht="30.95" customHeight="1" thickBot="1" x14ac:dyDescent="0.25">
      <c r="A16" s="196"/>
      <c r="B16" s="196"/>
      <c r="C16" s="196"/>
      <c r="D16" s="196"/>
      <c r="E16" s="196"/>
      <c r="F16" s="196"/>
      <c r="G16" s="196"/>
      <c r="H16" s="114"/>
      <c r="I16" s="114"/>
      <c r="J16" s="114"/>
      <c r="K16" s="114"/>
      <c r="L16" s="114"/>
      <c r="M16" s="114"/>
      <c r="N16" s="114"/>
      <c r="O16" s="197"/>
      <c r="P16" s="197"/>
      <c r="Q16" s="197"/>
      <c r="R16" s="197"/>
      <c r="S16" s="197"/>
      <c r="T16" s="197"/>
      <c r="U16" s="197"/>
      <c r="V16" s="197"/>
      <c r="W16" s="197"/>
      <c r="X16" s="114"/>
      <c r="Y16" s="114"/>
      <c r="Z16" s="114"/>
      <c r="AA16" s="114"/>
      <c r="AB16" s="114"/>
    </row>
    <row r="17" spans="1:28" ht="30.95" customHeight="1" thickBot="1" x14ac:dyDescent="0.25">
      <c r="A17" s="200"/>
      <c r="B17" s="200"/>
      <c r="C17" s="755" t="s">
        <v>8</v>
      </c>
      <c r="D17" s="756"/>
      <c r="E17" s="757"/>
      <c r="F17" s="755" t="s">
        <v>16</v>
      </c>
      <c r="G17" s="756"/>
      <c r="H17" s="757"/>
      <c r="I17" s="755" t="s">
        <v>20</v>
      </c>
      <c r="J17" s="756"/>
      <c r="K17" s="756"/>
      <c r="L17" s="756"/>
      <c r="M17" s="756"/>
      <c r="N17" s="757"/>
      <c r="O17" s="755" t="s">
        <v>4</v>
      </c>
      <c r="P17" s="757"/>
      <c r="Q17" s="755" t="s">
        <v>12</v>
      </c>
      <c r="R17" s="756"/>
      <c r="S17" s="756"/>
      <c r="T17" s="756"/>
      <c r="U17" s="756"/>
      <c r="V17" s="756"/>
      <c r="W17" s="756"/>
      <c r="X17" s="756"/>
      <c r="Y17" s="757"/>
      <c r="Z17" s="755" t="s">
        <v>174</v>
      </c>
      <c r="AA17" s="787"/>
    </row>
    <row r="18" spans="1:28" ht="30.95" customHeight="1" x14ac:dyDescent="0.2">
      <c r="A18" s="778">
        <v>1</v>
      </c>
      <c r="B18" s="779"/>
      <c r="C18" s="764">
        <f>'Poules A-B'!$C$38</f>
        <v>2</v>
      </c>
      <c r="D18" s="765"/>
      <c r="E18" s="766"/>
      <c r="F18" s="782">
        <f>IF(C18="","",VLOOKUP(C18,liste!$A$9:$G$145,7,FALSE))</f>
        <v>7223234</v>
      </c>
      <c r="G18" s="783" t="e">
        <f>IF(F18="","",VLOOKUP(F18,liste!$A$9:$G$145,7,FALSE))</f>
        <v>#N/A</v>
      </c>
      <c r="H18" s="784" t="e">
        <f>IF(G18="","",VLOOKUP(G18,liste!$A$9:$G$145,7,FALSE))</f>
        <v>#N/A</v>
      </c>
      <c r="I18" s="767" t="str">
        <f>IF(C18="","",VLOOKUP(C18,liste!$A$9:$G$145,2,FALSE))</f>
        <v>TARROUX Lucie</v>
      </c>
      <c r="J18" s="768"/>
      <c r="K18" s="768"/>
      <c r="L18" s="768"/>
      <c r="M18" s="768"/>
      <c r="N18" s="769"/>
      <c r="O18" s="773">
        <f>IF(C18="","",VLOOKUP(C18,liste!$A$9:$G$145,4,FALSE))</f>
        <v>5</v>
      </c>
      <c r="P18" s="774" t="str">
        <f>IF(J18="","",VLOOKUP(J18,liste!$A$9:$G$145,4,FALSE))</f>
        <v/>
      </c>
      <c r="Q18" s="775" t="str">
        <f>IF(C18="","",VLOOKUP(C18,liste!$A$9:$G$145,3,FALSE))</f>
        <v>MONTFORT TT</v>
      </c>
      <c r="R18" s="776"/>
      <c r="S18" s="776"/>
      <c r="T18" s="776"/>
      <c r="U18" s="776"/>
      <c r="V18" s="776"/>
      <c r="W18" s="776"/>
      <c r="X18" s="776"/>
      <c r="Y18" s="777"/>
      <c r="Z18" s="788">
        <f>IF(C18="","",VLOOKUP(C18,liste!$A$9:$G$145,6,FALSE))</f>
        <v>500</v>
      </c>
      <c r="AA18" s="789" t="str">
        <f>IF(U18="","",VLOOKUP(U18,liste!$A$9:$G$145,4,FALSE))</f>
        <v/>
      </c>
    </row>
    <row r="19" spans="1:28" ht="30.95" customHeight="1" x14ac:dyDescent="0.2">
      <c r="A19" s="780">
        <v>2</v>
      </c>
      <c r="B19" s="781"/>
      <c r="C19" s="758">
        <f>'Poules A-B'!$C$39</f>
        <v>7</v>
      </c>
      <c r="D19" s="759"/>
      <c r="E19" s="760"/>
      <c r="F19" s="761">
        <f>IF(C19="","",VLOOKUP(C19,liste!$A$9:$G$145,7,FALSE))</f>
        <v>7221992</v>
      </c>
      <c r="G19" s="762" t="e">
        <f>IF(F19="","",VLOOKUP(F19,liste!$A$9:$G$145,7,FALSE))</f>
        <v>#N/A</v>
      </c>
      <c r="H19" s="763" t="e">
        <f>IF(G19="","",VLOOKUP(G19,liste!$A$9:$G$145,7,FALSE))</f>
        <v>#N/A</v>
      </c>
      <c r="I19" s="770" t="str">
        <f>IF(C19="","",VLOOKUP(C19,liste!$A$9:$G$145,2,FALSE))</f>
        <v>SAUSSEREAU Rose</v>
      </c>
      <c r="J19" s="771"/>
      <c r="K19" s="771"/>
      <c r="L19" s="771"/>
      <c r="M19" s="771"/>
      <c r="N19" s="772"/>
      <c r="O19" s="792">
        <f>IF(C19="","",VLOOKUP(C19,liste!$A$9:$G$145,4,FALSE))</f>
        <v>5</v>
      </c>
      <c r="P19" s="793" t="str">
        <f>IF(J19="","",VLOOKUP(J19,liste!$A$9:$G$145,4,FALSE))</f>
        <v/>
      </c>
      <c r="Q19" s="807" t="str">
        <f>IF(C19="","",VLOOKUP(C19,liste!$A$9:$G$145,3,FALSE))</f>
        <v>ANILLE BRAYE ABTT</v>
      </c>
      <c r="R19" s="808"/>
      <c r="S19" s="808"/>
      <c r="T19" s="808"/>
      <c r="U19" s="808"/>
      <c r="V19" s="808"/>
      <c r="W19" s="808"/>
      <c r="X19" s="808"/>
      <c r="Y19" s="809"/>
      <c r="Z19" s="785">
        <f>IF(C19="","",VLOOKUP(C19,liste!$A$9:$G$145,6,FALSE))</f>
        <v>500</v>
      </c>
      <c r="AA19" s="786" t="str">
        <f>IF(U19="","",VLOOKUP(U19,liste!$A$9:$G$145,4,FALSE))</f>
        <v/>
      </c>
    </row>
    <row r="20" spans="1:28" ht="30.95" customHeight="1" x14ac:dyDescent="0.2">
      <c r="A20" s="780">
        <v>3</v>
      </c>
      <c r="B20" s="781"/>
      <c r="C20" s="758">
        <f>'Poules A-B'!$C$40</f>
        <v>10</v>
      </c>
      <c r="D20" s="759"/>
      <c r="E20" s="760"/>
      <c r="F20" s="761">
        <f>IF(C20="","",VLOOKUP(C20,liste!$A$9:$G$145,7,FALSE))</f>
        <v>7222502</v>
      </c>
      <c r="G20" s="762" t="e">
        <f>IF(F20="","",VLOOKUP(F20,liste!$A$9:$G$145,7,FALSE))</f>
        <v>#N/A</v>
      </c>
      <c r="H20" s="763" t="e">
        <f>IF(G20="","",VLOOKUP(G20,liste!$A$9:$G$145,7,FALSE))</f>
        <v>#N/A</v>
      </c>
      <c r="I20" s="770" t="str">
        <f>IF(C20="","",VLOOKUP(C20,liste!$A$9:$G$145,2,FALSE))</f>
        <v>HEROUF Elise</v>
      </c>
      <c r="J20" s="771"/>
      <c r="K20" s="771"/>
      <c r="L20" s="771"/>
      <c r="M20" s="771"/>
      <c r="N20" s="772"/>
      <c r="O20" s="792">
        <f>IF(C20="","",VLOOKUP(C20,liste!$A$9:$G$145,4,FALSE))</f>
        <v>5</v>
      </c>
      <c r="P20" s="793" t="str">
        <f>IF(J20="","",VLOOKUP(J20,liste!$A$9:$G$145,4,FALSE))</f>
        <v/>
      </c>
      <c r="Q20" s="807" t="str">
        <f>IF(C20="","",VLOOKUP(C20,liste!$A$9:$G$145,3,FALSE))</f>
        <v>ARNAGE US</v>
      </c>
      <c r="R20" s="808"/>
      <c r="S20" s="808"/>
      <c r="T20" s="808"/>
      <c r="U20" s="808"/>
      <c r="V20" s="808"/>
      <c r="W20" s="808"/>
      <c r="X20" s="808"/>
      <c r="Y20" s="809"/>
      <c r="Z20" s="785">
        <f>IF(C20="","",VLOOKUP(C20,liste!$A$9:$G$145,6,FALSE))</f>
        <v>500</v>
      </c>
      <c r="AA20" s="786" t="str">
        <f>IF(U20="","",VLOOKUP(U20,liste!$A$9:$G$145,4,FALSE))</f>
        <v/>
      </c>
    </row>
    <row r="21" spans="1:28" ht="30.95" customHeight="1" thickBot="1" x14ac:dyDescent="0.25">
      <c r="A21" s="790">
        <v>4</v>
      </c>
      <c r="B21" s="791"/>
      <c r="C21" s="802">
        <f>'Poules A-B'!$C$41</f>
        <v>15</v>
      </c>
      <c r="D21" s="803"/>
      <c r="E21" s="804"/>
      <c r="F21" s="799">
        <f>IF(C21="","",VLOOKUP(C21,liste!$A$9:$G$145,7,FALSE))</f>
        <v>0</v>
      </c>
      <c r="G21" s="800" t="e">
        <f>IF(F21="","",VLOOKUP(F21,liste!$A$9:$G$145,7,FALSE))</f>
        <v>#N/A</v>
      </c>
      <c r="H21" s="801" t="e">
        <f>IF(G21="","",VLOOKUP(G21,liste!$A$9:$G$145,7,FALSE))</f>
        <v>#N/A</v>
      </c>
      <c r="I21" s="796">
        <f>IF(C21="","",VLOOKUP(C21,liste!$A$9:$G$145,2,FALSE))</f>
        <v>0</v>
      </c>
      <c r="J21" s="797"/>
      <c r="K21" s="797"/>
      <c r="L21" s="797"/>
      <c r="M21" s="797"/>
      <c r="N21" s="798"/>
      <c r="O21" s="794">
        <f>IF(C21="","",VLOOKUP(C21,liste!$A$9:$G$145,4,FALSE))</f>
        <v>0</v>
      </c>
      <c r="P21" s="795" t="str">
        <f>IF(J21="","",VLOOKUP(J21,liste!$A$9:$G$145,4,FALSE))</f>
        <v/>
      </c>
      <c r="Q21" s="810">
        <f>IF(C21="","",VLOOKUP(C21,liste!$A$9:$G$145,3,FALSE))</f>
        <v>0</v>
      </c>
      <c r="R21" s="811"/>
      <c r="S21" s="811"/>
      <c r="T21" s="811"/>
      <c r="U21" s="811"/>
      <c r="V21" s="811"/>
      <c r="W21" s="811"/>
      <c r="X21" s="811"/>
      <c r="Y21" s="812"/>
      <c r="Z21" s="805">
        <f>IF(C21="","",VLOOKUP(C21,liste!$A$9:$G$145,6,FALSE))</f>
        <v>0</v>
      </c>
      <c r="AA21" s="806" t="str">
        <f>IF(U21="","",VLOOKUP(U21,liste!$A$9:$G$145,4,FALSE))</f>
        <v/>
      </c>
    </row>
    <row r="22" spans="1:28" ht="40.5" customHeight="1" x14ac:dyDescent="0.2">
      <c r="A22" s="196"/>
      <c r="B22" s="196"/>
      <c r="C22" s="196"/>
      <c r="D22" s="196"/>
      <c r="E22" s="196"/>
      <c r="F22" s="196"/>
      <c r="G22" s="196"/>
      <c r="H22" s="114"/>
      <c r="I22" s="114"/>
      <c r="J22" s="114"/>
      <c r="K22" s="114"/>
      <c r="L22" s="114"/>
      <c r="M22" s="114"/>
      <c r="N22" s="114"/>
      <c r="O22" s="197"/>
      <c r="P22" s="197"/>
      <c r="Q22" s="197"/>
      <c r="R22" s="197"/>
      <c r="S22" s="197"/>
      <c r="T22" s="197"/>
      <c r="U22" s="197"/>
      <c r="V22" s="197"/>
      <c r="W22" s="197"/>
      <c r="X22" s="198"/>
      <c r="Y22" s="198"/>
      <c r="Z22" s="198"/>
      <c r="AA22" s="198"/>
      <c r="AB22" s="114"/>
    </row>
    <row r="23" spans="1:28" s="380" customFormat="1" ht="30.95" customHeight="1" x14ac:dyDescent="0.2">
      <c r="A23" s="444"/>
      <c r="B23" s="379"/>
      <c r="C23" s="379"/>
      <c r="D23" s="754"/>
      <c r="E23" s="754"/>
      <c r="K23" s="754" t="s">
        <v>2</v>
      </c>
      <c r="L23" s="754"/>
      <c r="M23" s="379" t="str">
        <f>'Poules C-D'!$M$6</f>
        <v>C</v>
      </c>
      <c r="O23" s="817" t="s">
        <v>188</v>
      </c>
      <c r="P23" s="817"/>
      <c r="Q23" s="813">
        <f>'Poules C-D'!Q6</f>
        <v>0</v>
      </c>
      <c r="R23" s="814"/>
      <c r="S23" s="379"/>
      <c r="T23" s="381"/>
      <c r="U23" s="381"/>
      <c r="V23" s="382"/>
      <c r="W23" s="381"/>
      <c r="X23" s="382"/>
      <c r="Z23" s="386"/>
      <c r="AA23" s="205"/>
      <c r="AB23" s="382"/>
    </row>
    <row r="24" spans="1:28" ht="30.95" customHeight="1" thickBot="1" x14ac:dyDescent="0.25">
      <c r="A24" s="196"/>
      <c r="B24" s="196"/>
      <c r="C24" s="196"/>
      <c r="D24" s="196"/>
      <c r="E24" s="196"/>
      <c r="F24" s="196"/>
      <c r="G24" s="196"/>
      <c r="H24" s="114"/>
      <c r="I24" s="114"/>
      <c r="J24" s="114"/>
      <c r="K24" s="114"/>
      <c r="L24" s="114"/>
      <c r="M24" s="114"/>
      <c r="N24" s="114"/>
      <c r="O24" s="197"/>
      <c r="P24" s="197"/>
      <c r="Q24" s="197"/>
      <c r="R24" s="197"/>
      <c r="S24" s="197"/>
      <c r="T24" s="197"/>
      <c r="U24" s="197"/>
      <c r="V24" s="197"/>
      <c r="W24" s="197"/>
      <c r="X24" s="114"/>
      <c r="Y24" s="114"/>
      <c r="Z24" s="114"/>
      <c r="AA24" s="114"/>
      <c r="AB24" s="114"/>
    </row>
    <row r="25" spans="1:28" ht="30.95" customHeight="1" thickBot="1" x14ac:dyDescent="0.25">
      <c r="A25" s="200"/>
      <c r="B25" s="200"/>
      <c r="C25" s="755" t="s">
        <v>8</v>
      </c>
      <c r="D25" s="756"/>
      <c r="E25" s="757"/>
      <c r="F25" s="755" t="s">
        <v>16</v>
      </c>
      <c r="G25" s="756"/>
      <c r="H25" s="757"/>
      <c r="I25" s="755" t="s">
        <v>20</v>
      </c>
      <c r="J25" s="756"/>
      <c r="K25" s="756"/>
      <c r="L25" s="756"/>
      <c r="M25" s="756"/>
      <c r="N25" s="757"/>
      <c r="O25" s="755" t="s">
        <v>4</v>
      </c>
      <c r="P25" s="757"/>
      <c r="Q25" s="755" t="s">
        <v>12</v>
      </c>
      <c r="R25" s="756"/>
      <c r="S25" s="756"/>
      <c r="T25" s="756"/>
      <c r="U25" s="756"/>
      <c r="V25" s="756"/>
      <c r="W25" s="756"/>
      <c r="X25" s="756"/>
      <c r="Y25" s="757"/>
      <c r="Z25" s="755" t="s">
        <v>174</v>
      </c>
      <c r="AA25" s="787"/>
    </row>
    <row r="26" spans="1:28" ht="30.95" customHeight="1" x14ac:dyDescent="0.2">
      <c r="A26" s="778">
        <v>1</v>
      </c>
      <c r="B26" s="779"/>
      <c r="C26" s="764">
        <f>'Poules C-D'!$C$9</f>
        <v>3</v>
      </c>
      <c r="D26" s="765"/>
      <c r="E26" s="766"/>
      <c r="F26" s="782">
        <f>IF(C26="","",VLOOKUP(C26,liste!$A$9:$G$145,7,FALSE))</f>
        <v>7223109</v>
      </c>
      <c r="G26" s="783" t="e">
        <f>IF(F26="","",VLOOKUP(F26,liste!$A$9:$G$145,7,FALSE))</f>
        <v>#N/A</v>
      </c>
      <c r="H26" s="784" t="e">
        <f>IF(G26="","",VLOOKUP(G26,liste!$A$9:$G$145,7,FALSE))</f>
        <v>#N/A</v>
      </c>
      <c r="I26" s="767" t="str">
        <f>IF(C26="","",VLOOKUP(C26,liste!$A$9:$G$145,2,FALSE))</f>
        <v>LEBRETON Marine</v>
      </c>
      <c r="J26" s="768"/>
      <c r="K26" s="768"/>
      <c r="L26" s="768"/>
      <c r="M26" s="768"/>
      <c r="N26" s="769"/>
      <c r="O26" s="773">
        <f>IF(C26="","",VLOOKUP(C26,liste!$A$9:$G$145,4,FALSE))</f>
        <v>5</v>
      </c>
      <c r="P26" s="774" t="str">
        <f>IF(J26="","",VLOOKUP(J26,liste!$A$9:$G$145,4,FALSE))</f>
        <v/>
      </c>
      <c r="Q26" s="775" t="str">
        <f>IF(C26="","",VLOOKUP(C26,liste!$A$9:$G$145,3,FALSE))</f>
        <v>CHAMPAGNE ESP</v>
      </c>
      <c r="R26" s="776"/>
      <c r="S26" s="776"/>
      <c r="T26" s="776"/>
      <c r="U26" s="776"/>
      <c r="V26" s="776"/>
      <c r="W26" s="776"/>
      <c r="X26" s="776"/>
      <c r="Y26" s="777"/>
      <c r="Z26" s="788">
        <f>IF(C26="","",VLOOKUP(C26,liste!$A$9:$G$145,6,FALSE))</f>
        <v>500</v>
      </c>
      <c r="AA26" s="789" t="str">
        <f>IF(U26="","",VLOOKUP(U26,liste!$A$9:$G$145,4,FALSE))</f>
        <v/>
      </c>
    </row>
    <row r="27" spans="1:28" ht="30.95" customHeight="1" x14ac:dyDescent="0.2">
      <c r="A27" s="780">
        <v>2</v>
      </c>
      <c r="B27" s="781"/>
      <c r="C27" s="758">
        <f>'Poules C-D'!$C$10</f>
        <v>6</v>
      </c>
      <c r="D27" s="759"/>
      <c r="E27" s="760"/>
      <c r="F27" s="761">
        <f>IF(C27="","",VLOOKUP(C27,liste!$A$9:$G$145,7,FALSE))</f>
        <v>7222271</v>
      </c>
      <c r="G27" s="762" t="e">
        <f>IF(F27="","",VLOOKUP(F27,liste!$A$9:$G$145,7,FALSE))</f>
        <v>#N/A</v>
      </c>
      <c r="H27" s="763" t="e">
        <f>IF(G27="","",VLOOKUP(G27,liste!$A$9:$G$145,7,FALSE))</f>
        <v>#N/A</v>
      </c>
      <c r="I27" s="770" t="str">
        <f>IF(C27="","",VLOOKUP(C27,liste!$A$9:$G$145,2,FALSE))</f>
        <v>LE BOEUF Léanne</v>
      </c>
      <c r="J27" s="771"/>
      <c r="K27" s="771"/>
      <c r="L27" s="771"/>
      <c r="M27" s="771"/>
      <c r="N27" s="772"/>
      <c r="O27" s="792">
        <f>IF(C27="","",VLOOKUP(C27,liste!$A$9:$G$145,4,FALSE))</f>
        <v>5</v>
      </c>
      <c r="P27" s="793" t="str">
        <f>IF(J27="","",VLOOKUP(J27,liste!$A$9:$G$145,4,FALSE))</f>
        <v/>
      </c>
      <c r="Q27" s="807" t="str">
        <f>IF(C27="","",VLOOKUP(C27,liste!$A$9:$G$145,3,FALSE))</f>
        <v>SPAY CP</v>
      </c>
      <c r="R27" s="808"/>
      <c r="S27" s="808"/>
      <c r="T27" s="808"/>
      <c r="U27" s="808"/>
      <c r="V27" s="808"/>
      <c r="W27" s="808"/>
      <c r="X27" s="808"/>
      <c r="Y27" s="809"/>
      <c r="Z27" s="785">
        <f>IF(C27="","",VLOOKUP(C27,liste!$A$9:$G$145,6,FALSE))</f>
        <v>500</v>
      </c>
      <c r="AA27" s="786" t="str">
        <f>IF(U27="","",VLOOKUP(U27,liste!$A$9:$G$145,4,FALSE))</f>
        <v/>
      </c>
    </row>
    <row r="28" spans="1:28" ht="30.95" customHeight="1" x14ac:dyDescent="0.2">
      <c r="A28" s="780">
        <v>3</v>
      </c>
      <c r="B28" s="781"/>
      <c r="C28" s="758">
        <f>'Poules C-D'!$C$11</f>
        <v>11</v>
      </c>
      <c r="D28" s="759"/>
      <c r="E28" s="760"/>
      <c r="F28" s="761">
        <f>IF(C28="","",VLOOKUP(C28,liste!$A$9:$G$145,7,FALSE))</f>
        <v>7222495</v>
      </c>
      <c r="G28" s="762" t="e">
        <f>IF(F28="","",VLOOKUP(F28,liste!$A$9:$G$145,7,FALSE))</f>
        <v>#N/A</v>
      </c>
      <c r="H28" s="763" t="e">
        <f>IF(G28="","",VLOOKUP(G28,liste!$A$9:$G$145,7,FALSE))</f>
        <v>#N/A</v>
      </c>
      <c r="I28" s="770" t="str">
        <f>IF(C28="","",VLOOKUP(C28,liste!$A$9:$G$145,2,FALSE))</f>
        <v>MENAGER Chloe</v>
      </c>
      <c r="J28" s="771"/>
      <c r="K28" s="771"/>
      <c r="L28" s="771"/>
      <c r="M28" s="771"/>
      <c r="N28" s="772"/>
      <c r="O28" s="792">
        <f>IF(C28="","",VLOOKUP(C28,liste!$A$9:$G$145,4,FALSE))</f>
        <v>5</v>
      </c>
      <c r="P28" s="793" t="str">
        <f>IF(J28="","",VLOOKUP(J28,liste!$A$9:$G$145,4,FALSE))</f>
        <v/>
      </c>
      <c r="Q28" s="807" t="str">
        <f>IF(C28="","",VLOOKUP(C28,liste!$A$9:$G$145,3,FALSE))</f>
        <v>MAMERS CS</v>
      </c>
      <c r="R28" s="808"/>
      <c r="S28" s="808"/>
      <c r="T28" s="808"/>
      <c r="U28" s="808"/>
      <c r="V28" s="808"/>
      <c r="W28" s="808"/>
      <c r="X28" s="808"/>
      <c r="Y28" s="809"/>
      <c r="Z28" s="785">
        <f>IF(C28="","",VLOOKUP(C28,liste!$A$9:$G$145,6,FALSE))</f>
        <v>500</v>
      </c>
      <c r="AA28" s="786" t="str">
        <f>IF(U28="","",VLOOKUP(U28,liste!$A$9:$G$145,4,FALSE))</f>
        <v/>
      </c>
    </row>
    <row r="29" spans="1:28" ht="30.95" customHeight="1" thickBot="1" x14ac:dyDescent="0.25">
      <c r="A29" s="790">
        <v>4</v>
      </c>
      <c r="B29" s="791"/>
      <c r="C29" s="802">
        <f>'Poules C-D'!$C$12</f>
        <v>14</v>
      </c>
      <c r="D29" s="803"/>
      <c r="E29" s="804"/>
      <c r="F29" s="799">
        <f>IF(C29="","",VLOOKUP(C29,liste!$A$9:$G$145,7,FALSE))</f>
        <v>0</v>
      </c>
      <c r="G29" s="800" t="e">
        <f>IF(F29="","",VLOOKUP(F29,liste!$A$9:$G$145,7,FALSE))</f>
        <v>#N/A</v>
      </c>
      <c r="H29" s="801" t="e">
        <f>IF(G29="","",VLOOKUP(G29,liste!$A$9:$G$145,7,FALSE))</f>
        <v>#N/A</v>
      </c>
      <c r="I29" s="796">
        <f>IF(C29="","",VLOOKUP(C29,liste!$A$9:$G$145,2,FALSE))</f>
        <v>0</v>
      </c>
      <c r="J29" s="797"/>
      <c r="K29" s="797"/>
      <c r="L29" s="797"/>
      <c r="M29" s="797"/>
      <c r="N29" s="798"/>
      <c r="O29" s="794">
        <f>IF(C29="","",VLOOKUP(C29,liste!$A$9:$G$145,4,FALSE))</f>
        <v>0</v>
      </c>
      <c r="P29" s="795" t="str">
        <f>IF(J29="","",VLOOKUP(J29,liste!$A$9:$G$145,4,FALSE))</f>
        <v/>
      </c>
      <c r="Q29" s="810">
        <f>IF(C29="","",VLOOKUP(C29,liste!$A$9:$G$145,3,FALSE))</f>
        <v>0</v>
      </c>
      <c r="R29" s="811"/>
      <c r="S29" s="811"/>
      <c r="T29" s="811"/>
      <c r="U29" s="811"/>
      <c r="V29" s="811"/>
      <c r="W29" s="811"/>
      <c r="X29" s="811"/>
      <c r="Y29" s="812"/>
      <c r="Z29" s="805">
        <f>IF(C29="","",VLOOKUP(C29,liste!$A$9:$G$145,6,FALSE))</f>
        <v>0</v>
      </c>
      <c r="AA29" s="806" t="str">
        <f>IF(U29="","",VLOOKUP(U29,liste!$A$9:$G$145,4,FALSE))</f>
        <v/>
      </c>
    </row>
    <row r="30" spans="1:28" ht="40.5" customHeight="1" x14ac:dyDescent="0.2">
      <c r="A30" s="196"/>
      <c r="B30" s="196"/>
      <c r="C30" s="196"/>
      <c r="D30" s="196"/>
      <c r="E30" s="196"/>
      <c r="F30" s="196"/>
      <c r="G30" s="196"/>
      <c r="H30" s="114"/>
      <c r="I30" s="114"/>
      <c r="J30" s="114"/>
      <c r="K30" s="114"/>
      <c r="L30" s="114"/>
      <c r="M30" s="114"/>
      <c r="N30" s="114"/>
      <c r="O30" s="197"/>
      <c r="P30" s="197"/>
      <c r="Q30" s="197"/>
      <c r="R30" s="197"/>
      <c r="S30" s="197"/>
      <c r="T30" s="197"/>
      <c r="U30" s="197"/>
      <c r="V30" s="197"/>
      <c r="W30" s="197"/>
      <c r="X30" s="198"/>
      <c r="Y30" s="198"/>
      <c r="Z30" s="198"/>
      <c r="AA30" s="198"/>
      <c r="AB30" s="114"/>
    </row>
    <row r="31" spans="1:28" s="380" customFormat="1" ht="30.95" customHeight="1" x14ac:dyDescent="0.2">
      <c r="A31" s="444"/>
      <c r="B31" s="379"/>
      <c r="C31" s="379"/>
      <c r="D31" s="754"/>
      <c r="E31" s="754"/>
      <c r="K31" s="754" t="s">
        <v>2</v>
      </c>
      <c r="L31" s="754"/>
      <c r="M31" s="379" t="str">
        <f>+'Poules C-D'!$M$35</f>
        <v>D</v>
      </c>
      <c r="N31" s="205"/>
      <c r="O31" s="817" t="s">
        <v>188</v>
      </c>
      <c r="P31" s="817"/>
      <c r="Q31" s="813">
        <f>'Poules C-D'!Q35</f>
        <v>0</v>
      </c>
      <c r="R31" s="814"/>
      <c r="S31" s="379"/>
      <c r="T31" s="381"/>
      <c r="U31" s="381"/>
      <c r="V31" s="382"/>
      <c r="W31" s="381"/>
      <c r="X31" s="382"/>
      <c r="Z31" s="386"/>
      <c r="AA31" s="205"/>
      <c r="AB31" s="382"/>
    </row>
    <row r="32" spans="1:28" ht="30.95" customHeight="1" thickBot="1" x14ac:dyDescent="0.25">
      <c r="A32" s="196"/>
      <c r="B32" s="196"/>
      <c r="C32" s="196"/>
      <c r="D32" s="196"/>
      <c r="E32" s="196"/>
      <c r="F32" s="196"/>
      <c r="G32" s="196"/>
      <c r="H32" s="114"/>
      <c r="I32" s="114"/>
      <c r="J32" s="114"/>
      <c r="K32" s="114"/>
      <c r="L32" s="114"/>
      <c r="M32" s="114"/>
      <c r="N32" s="114"/>
      <c r="O32" s="197"/>
      <c r="P32" s="197"/>
      <c r="Q32" s="197"/>
      <c r="R32" s="197"/>
      <c r="S32" s="197"/>
      <c r="T32" s="197"/>
      <c r="U32" s="197"/>
      <c r="V32" s="197"/>
      <c r="W32" s="197"/>
      <c r="X32" s="114"/>
      <c r="Y32" s="114"/>
      <c r="Z32" s="114"/>
      <c r="AA32" s="114"/>
      <c r="AB32" s="114"/>
    </row>
    <row r="33" spans="1:27" ht="30.95" customHeight="1" thickBot="1" x14ac:dyDescent="0.25">
      <c r="A33" s="200"/>
      <c r="B33" s="200"/>
      <c r="C33" s="755" t="s">
        <v>8</v>
      </c>
      <c r="D33" s="756"/>
      <c r="E33" s="757"/>
      <c r="F33" s="755" t="s">
        <v>16</v>
      </c>
      <c r="G33" s="756"/>
      <c r="H33" s="757"/>
      <c r="I33" s="755" t="s">
        <v>20</v>
      </c>
      <c r="J33" s="756"/>
      <c r="K33" s="756"/>
      <c r="L33" s="756"/>
      <c r="M33" s="756"/>
      <c r="N33" s="757"/>
      <c r="O33" s="755" t="s">
        <v>4</v>
      </c>
      <c r="P33" s="757"/>
      <c r="Q33" s="755" t="s">
        <v>12</v>
      </c>
      <c r="R33" s="756"/>
      <c r="S33" s="756"/>
      <c r="T33" s="756"/>
      <c r="U33" s="756"/>
      <c r="V33" s="756"/>
      <c r="W33" s="756"/>
      <c r="X33" s="756"/>
      <c r="Y33" s="757"/>
      <c r="Z33" s="755" t="s">
        <v>174</v>
      </c>
      <c r="AA33" s="787"/>
    </row>
    <row r="34" spans="1:27" ht="30.95" customHeight="1" x14ac:dyDescent="0.2">
      <c r="A34" s="778">
        <v>1</v>
      </c>
      <c r="B34" s="779"/>
      <c r="C34" s="764">
        <f>'Poules C-D'!$C$38</f>
        <v>4</v>
      </c>
      <c r="D34" s="765"/>
      <c r="E34" s="766"/>
      <c r="F34" s="782">
        <f>IF(C34="","",VLOOKUP(C34,liste!$A$9:$G$145,7,FALSE))</f>
        <v>7222176</v>
      </c>
      <c r="G34" s="783" t="e">
        <f>IF(F34="","",VLOOKUP(F34,liste!$A$9:$G$145,7,FALSE))</f>
        <v>#N/A</v>
      </c>
      <c r="H34" s="784" t="e">
        <f>IF(G34="","",VLOOKUP(G34,liste!$A$9:$G$145,7,FALSE))</f>
        <v>#N/A</v>
      </c>
      <c r="I34" s="767" t="str">
        <f>IF(C34="","",VLOOKUP(C34,liste!$A$9:$G$145,2,FALSE))</f>
        <v>LE DANTEC Enola</v>
      </c>
      <c r="J34" s="768"/>
      <c r="K34" s="768"/>
      <c r="L34" s="768"/>
      <c r="M34" s="768"/>
      <c r="N34" s="769"/>
      <c r="O34" s="773">
        <f>IF(C34="","",VLOOKUP(C34,liste!$A$9:$G$145,4,FALSE))</f>
        <v>5</v>
      </c>
      <c r="P34" s="774" t="str">
        <f>IF(J34="","",VLOOKUP(J34,liste!$A$9:$G$145,4,FALSE))</f>
        <v/>
      </c>
      <c r="Q34" s="775" t="str">
        <f>IF(C34="","",VLOOKUP(C34,liste!$A$9:$G$145,3,FALSE))</f>
        <v>SPAY CP</v>
      </c>
      <c r="R34" s="776"/>
      <c r="S34" s="776"/>
      <c r="T34" s="776"/>
      <c r="U34" s="776"/>
      <c r="V34" s="776"/>
      <c r="W34" s="776"/>
      <c r="X34" s="776"/>
      <c r="Y34" s="777"/>
      <c r="Z34" s="788">
        <f>IF(C34="","",VLOOKUP(C34,liste!$A$9:$G$145,6,FALSE))</f>
        <v>500</v>
      </c>
      <c r="AA34" s="789" t="str">
        <f>IF(U34="","",VLOOKUP(U34,liste!$A$9:$G$145,4,FALSE))</f>
        <v/>
      </c>
    </row>
    <row r="35" spans="1:27" ht="30.95" customHeight="1" x14ac:dyDescent="0.2">
      <c r="A35" s="780">
        <v>2</v>
      </c>
      <c r="B35" s="781"/>
      <c r="C35" s="758">
        <f>'Poules C-D'!$C$39</f>
        <v>5</v>
      </c>
      <c r="D35" s="759"/>
      <c r="E35" s="760"/>
      <c r="F35" s="761">
        <f>IF(C35="","",VLOOKUP(C35,liste!$A$9:$G$145,7,FALSE))</f>
        <v>7221427</v>
      </c>
      <c r="G35" s="762" t="e">
        <f>IF(F35="","",VLOOKUP(F35,liste!$A$9:$G$145,7,FALSE))</f>
        <v>#N/A</v>
      </c>
      <c r="H35" s="763" t="e">
        <f>IF(G35="","",VLOOKUP(G35,liste!$A$9:$G$145,7,FALSE))</f>
        <v>#N/A</v>
      </c>
      <c r="I35" s="770" t="str">
        <f>IF(C35="","",VLOOKUP(C35,liste!$A$9:$G$145,2,FALSE))</f>
        <v>CHAUSSEE Léna</v>
      </c>
      <c r="J35" s="771"/>
      <c r="K35" s="771"/>
      <c r="L35" s="771"/>
      <c r="M35" s="771"/>
      <c r="N35" s="772"/>
      <c r="O35" s="792">
        <f>IF(C35="","",VLOOKUP(C35,liste!$A$9:$G$145,4,FALSE))</f>
        <v>5</v>
      </c>
      <c r="P35" s="793" t="str">
        <f>IF(J35="","",VLOOKUP(J35,liste!$A$9:$G$145,4,FALSE))</f>
        <v/>
      </c>
      <c r="Q35" s="807" t="str">
        <f>IF(C35="","",VLOOKUP(C35,liste!$A$9:$G$145,3,FALSE))</f>
        <v>BONNETABLE P</v>
      </c>
      <c r="R35" s="808"/>
      <c r="S35" s="808"/>
      <c r="T35" s="808"/>
      <c r="U35" s="808"/>
      <c r="V35" s="808"/>
      <c r="W35" s="808"/>
      <c r="X35" s="808"/>
      <c r="Y35" s="809"/>
      <c r="Z35" s="785">
        <f>IF(C35="","",VLOOKUP(C35,liste!$A$9:$G$145,6,FALSE))</f>
        <v>500</v>
      </c>
      <c r="AA35" s="786" t="str">
        <f>IF(U35="","",VLOOKUP(U35,liste!$A$9:$G$145,4,FALSE))</f>
        <v/>
      </c>
    </row>
    <row r="36" spans="1:27" ht="30.95" customHeight="1" x14ac:dyDescent="0.2">
      <c r="A36" s="780">
        <v>3</v>
      </c>
      <c r="B36" s="781"/>
      <c r="C36" s="758">
        <f>'Poules C-D'!$C$40</f>
        <v>12</v>
      </c>
      <c r="D36" s="759"/>
      <c r="E36" s="760"/>
      <c r="F36" s="761">
        <f>IF(C36="","",VLOOKUP(C36,liste!$A$9:$G$145,7,FALSE))</f>
        <v>0</v>
      </c>
      <c r="G36" s="762" t="e">
        <f>IF(F36="","",VLOOKUP(F36,liste!$A$9:$G$145,7,FALSE))</f>
        <v>#N/A</v>
      </c>
      <c r="H36" s="763" t="e">
        <f>IF(G36="","",VLOOKUP(G36,liste!$A$9:$G$145,7,FALSE))</f>
        <v>#N/A</v>
      </c>
      <c r="I36" s="770">
        <f>IF(C36="","",VLOOKUP(C36,liste!$A$9:$G$145,2,FALSE))</f>
        <v>0</v>
      </c>
      <c r="J36" s="771"/>
      <c r="K36" s="771"/>
      <c r="L36" s="771"/>
      <c r="M36" s="771"/>
      <c r="N36" s="772"/>
      <c r="O36" s="792">
        <f>IF(C36="","",VLOOKUP(C36,liste!$A$9:$G$145,4,FALSE))</f>
        <v>0</v>
      </c>
      <c r="P36" s="793" t="str">
        <f>IF(J36="","",VLOOKUP(J36,liste!$A$9:$G$145,4,FALSE))</f>
        <v/>
      </c>
      <c r="Q36" s="807">
        <f>IF(C36="","",VLOOKUP(C36,liste!$A$9:$G$145,3,FALSE))</f>
        <v>0</v>
      </c>
      <c r="R36" s="808"/>
      <c r="S36" s="808"/>
      <c r="T36" s="808"/>
      <c r="U36" s="808"/>
      <c r="V36" s="808"/>
      <c r="W36" s="808"/>
      <c r="X36" s="808"/>
      <c r="Y36" s="809"/>
      <c r="Z36" s="785">
        <f>IF(C36="","",VLOOKUP(C36,liste!$A$9:$G$145,6,FALSE))</f>
        <v>0</v>
      </c>
      <c r="AA36" s="786" t="str">
        <f>IF(U36="","",VLOOKUP(U36,liste!$A$9:$G$145,4,FALSE))</f>
        <v/>
      </c>
    </row>
    <row r="37" spans="1:27" ht="30.95" customHeight="1" thickBot="1" x14ac:dyDescent="0.25">
      <c r="A37" s="790">
        <v>4</v>
      </c>
      <c r="B37" s="791"/>
      <c r="C37" s="802">
        <f>'Poules C-D'!$C$41</f>
        <v>13</v>
      </c>
      <c r="D37" s="803"/>
      <c r="E37" s="804"/>
      <c r="F37" s="799">
        <f>IF(C37="","",VLOOKUP(C37,liste!$A$9:$G$145,7,FALSE))</f>
        <v>0</v>
      </c>
      <c r="G37" s="800" t="e">
        <f>IF(F37="","",VLOOKUP(F37,liste!$A$9:$G$145,7,FALSE))</f>
        <v>#N/A</v>
      </c>
      <c r="H37" s="801" t="e">
        <f>IF(G37="","",VLOOKUP(G37,liste!$A$9:$G$145,7,FALSE))</f>
        <v>#N/A</v>
      </c>
      <c r="I37" s="796">
        <f>IF(C37="","",VLOOKUP(C37,liste!$A$9:$G$145,2,FALSE))</f>
        <v>0</v>
      </c>
      <c r="J37" s="797"/>
      <c r="K37" s="797"/>
      <c r="L37" s="797"/>
      <c r="M37" s="797"/>
      <c r="N37" s="798"/>
      <c r="O37" s="794">
        <f>IF(C37="","",VLOOKUP(C37,liste!$A$9:$G$145,4,FALSE))</f>
        <v>0</v>
      </c>
      <c r="P37" s="795" t="str">
        <f>IF(J37="","",VLOOKUP(J37,liste!$A$9:$G$145,4,FALSE))</f>
        <v/>
      </c>
      <c r="Q37" s="810">
        <f>IF(C37="","",VLOOKUP(C37,liste!$A$9:$G$145,3,FALSE))</f>
        <v>0</v>
      </c>
      <c r="R37" s="811"/>
      <c r="S37" s="811"/>
      <c r="T37" s="811"/>
      <c r="U37" s="811"/>
      <c r="V37" s="811"/>
      <c r="W37" s="811"/>
      <c r="X37" s="811"/>
      <c r="Y37" s="812"/>
      <c r="Z37" s="805">
        <f>IF(C37="","",VLOOKUP(C37,liste!$A$9:$G$145,6,FALSE))</f>
        <v>0</v>
      </c>
      <c r="AA37" s="806" t="str">
        <f>IF(U37="","",VLOOKUP(U37,liste!$A$9:$G$145,4,FALSE))</f>
        <v/>
      </c>
    </row>
    <row r="38" spans="1:27" ht="30.95" customHeight="1" x14ac:dyDescent="0.2"/>
    <row r="39" spans="1:27" ht="19.899999999999999" customHeight="1" x14ac:dyDescent="0.2"/>
    <row r="40" spans="1:27" ht="19.899999999999999" customHeight="1" x14ac:dyDescent="0.2"/>
    <row r="41" spans="1:27" ht="19.899999999999999" customHeight="1" x14ac:dyDescent="0.2">
      <c r="H41" s="816" t="s">
        <v>231</v>
      </c>
      <c r="I41" s="816"/>
      <c r="J41" s="816"/>
      <c r="K41" s="816"/>
    </row>
    <row r="43" spans="1:27" ht="18.75" x14ac:dyDescent="0.2">
      <c r="H43" s="815">
        <f>Rens!E13</f>
        <v>0</v>
      </c>
      <c r="I43" s="815"/>
      <c r="J43" s="815"/>
      <c r="K43" s="815"/>
    </row>
  </sheetData>
  <sheetProtection sheet="1" selectLockedCells="1"/>
  <mergeCells count="162">
    <mergeCell ref="H43:K43"/>
    <mergeCell ref="H41:K41"/>
    <mergeCell ref="D15:E15"/>
    <mergeCell ref="O15:P15"/>
    <mergeCell ref="D23:E23"/>
    <mergeCell ref="O23:P23"/>
    <mergeCell ref="D31:E31"/>
    <mergeCell ref="O31:P31"/>
    <mergeCell ref="T5:Z5"/>
    <mergeCell ref="Q5:S5"/>
    <mergeCell ref="K7:L7"/>
    <mergeCell ref="K15:L15"/>
    <mergeCell ref="K23:L23"/>
    <mergeCell ref="K31:L31"/>
    <mergeCell ref="Q9:Y9"/>
    <mergeCell ref="F5:N5"/>
    <mergeCell ref="D5:E5"/>
    <mergeCell ref="D7:E7"/>
    <mergeCell ref="O7:P7"/>
    <mergeCell ref="Q7:S7"/>
    <mergeCell ref="U7:X7"/>
    <mergeCell ref="Y7:Z7"/>
    <mergeCell ref="O36:P36"/>
    <mergeCell ref="Q28:Y28"/>
    <mergeCell ref="A37:B37"/>
    <mergeCell ref="C37:E37"/>
    <mergeCell ref="F37:H37"/>
    <mergeCell ref="I37:N37"/>
    <mergeCell ref="O37:P37"/>
    <mergeCell ref="Q37:Y37"/>
    <mergeCell ref="Z37:AA37"/>
    <mergeCell ref="O35:P35"/>
    <mergeCell ref="Q35:Y35"/>
    <mergeCell ref="Z35:AA35"/>
    <mergeCell ref="Q36:Y36"/>
    <mergeCell ref="Z36:AA36"/>
    <mergeCell ref="I36:N36"/>
    <mergeCell ref="I35:N35"/>
    <mergeCell ref="Q31:R31"/>
    <mergeCell ref="Q23:R23"/>
    <mergeCell ref="Q15:R15"/>
    <mergeCell ref="Q26:Y26"/>
    <mergeCell ref="Q20:Y20"/>
    <mergeCell ref="Q11:Y11"/>
    <mergeCell ref="Q12:Y12"/>
    <mergeCell ref="Q13:Y13"/>
    <mergeCell ref="A36:B36"/>
    <mergeCell ref="C35:E35"/>
    <mergeCell ref="A27:B27"/>
    <mergeCell ref="A35:B35"/>
    <mergeCell ref="C36:E36"/>
    <mergeCell ref="C28:E28"/>
    <mergeCell ref="A34:B34"/>
    <mergeCell ref="I28:N28"/>
    <mergeCell ref="I26:N26"/>
    <mergeCell ref="I27:N27"/>
    <mergeCell ref="F35:H35"/>
    <mergeCell ref="A29:B29"/>
    <mergeCell ref="C29:E29"/>
    <mergeCell ref="F29:H29"/>
    <mergeCell ref="I29:N29"/>
    <mergeCell ref="F36:H36"/>
    <mergeCell ref="C34:E34"/>
    <mergeCell ref="F34:H34"/>
    <mergeCell ref="I34:N34"/>
    <mergeCell ref="O34:P34"/>
    <mergeCell ref="Q34:Y34"/>
    <mergeCell ref="Z34:AA34"/>
    <mergeCell ref="C33:E33"/>
    <mergeCell ref="A28:B28"/>
    <mergeCell ref="A26:B26"/>
    <mergeCell ref="Z28:AA28"/>
    <mergeCell ref="O29:P29"/>
    <mergeCell ref="Q29:Y29"/>
    <mergeCell ref="Z29:AA29"/>
    <mergeCell ref="O28:P28"/>
    <mergeCell ref="F33:H33"/>
    <mergeCell ref="I33:N33"/>
    <mergeCell ref="O33:P33"/>
    <mergeCell ref="Z26:AA26"/>
    <mergeCell ref="F27:H27"/>
    <mergeCell ref="F28:H28"/>
    <mergeCell ref="Q33:Y33"/>
    <mergeCell ref="Z33:AA33"/>
    <mergeCell ref="Z27:AA27"/>
    <mergeCell ref="C26:E26"/>
    <mergeCell ref="F26:H26"/>
    <mergeCell ref="O26:P26"/>
    <mergeCell ref="C27:E27"/>
    <mergeCell ref="O27:P27"/>
    <mergeCell ref="Q27:Y27"/>
    <mergeCell ref="O25:P25"/>
    <mergeCell ref="Q25:Y25"/>
    <mergeCell ref="Z25:AA25"/>
    <mergeCell ref="C25:E25"/>
    <mergeCell ref="F25:H25"/>
    <mergeCell ref="I25:N25"/>
    <mergeCell ref="F20:H20"/>
    <mergeCell ref="Z19:AA19"/>
    <mergeCell ref="Q19:Y19"/>
    <mergeCell ref="O19:P19"/>
    <mergeCell ref="Q17:Y17"/>
    <mergeCell ref="O11:P11"/>
    <mergeCell ref="Z17:AA17"/>
    <mergeCell ref="F18:H18"/>
    <mergeCell ref="C21:E21"/>
    <mergeCell ref="C20:E20"/>
    <mergeCell ref="I20:N20"/>
    <mergeCell ref="I21:N21"/>
    <mergeCell ref="Z20:AA20"/>
    <mergeCell ref="O20:P20"/>
    <mergeCell ref="Z21:AA21"/>
    <mergeCell ref="O21:P21"/>
    <mergeCell ref="Q21:Y21"/>
    <mergeCell ref="F21:H21"/>
    <mergeCell ref="A21:B21"/>
    <mergeCell ref="A12:B12"/>
    <mergeCell ref="A13:B13"/>
    <mergeCell ref="Z12:AA12"/>
    <mergeCell ref="O12:P12"/>
    <mergeCell ref="I12:N12"/>
    <mergeCell ref="O13:P13"/>
    <mergeCell ref="I18:N18"/>
    <mergeCell ref="I13:N13"/>
    <mergeCell ref="I17:N17"/>
    <mergeCell ref="A18:B18"/>
    <mergeCell ref="A19:B19"/>
    <mergeCell ref="A20:B20"/>
    <mergeCell ref="O17:P17"/>
    <mergeCell ref="C19:E19"/>
    <mergeCell ref="F12:H12"/>
    <mergeCell ref="C17:E17"/>
    <mergeCell ref="F13:H13"/>
    <mergeCell ref="C13:E13"/>
    <mergeCell ref="O18:P18"/>
    <mergeCell ref="I19:N19"/>
    <mergeCell ref="Z18:AA18"/>
    <mergeCell ref="Z13:AA13"/>
    <mergeCell ref="Q18:Y18"/>
    <mergeCell ref="A1:AA2"/>
    <mergeCell ref="A3:AA3"/>
    <mergeCell ref="F17:H17"/>
    <mergeCell ref="C12:E12"/>
    <mergeCell ref="F19:H19"/>
    <mergeCell ref="C18:E18"/>
    <mergeCell ref="I9:N9"/>
    <mergeCell ref="I10:N10"/>
    <mergeCell ref="I11:N11"/>
    <mergeCell ref="C9:E9"/>
    <mergeCell ref="F9:H9"/>
    <mergeCell ref="F11:H11"/>
    <mergeCell ref="O9:P9"/>
    <mergeCell ref="O10:P10"/>
    <mergeCell ref="Q10:Y10"/>
    <mergeCell ref="A10:B10"/>
    <mergeCell ref="A11:B11"/>
    <mergeCell ref="F10:H10"/>
    <mergeCell ref="C10:E10"/>
    <mergeCell ref="Z11:AA11"/>
    <mergeCell ref="Z9:AA9"/>
    <mergeCell ref="Z10:AA10"/>
    <mergeCell ref="C11:E11"/>
  </mergeCells>
  <phoneticPr fontId="0" type="noConversion"/>
  <printOptions horizontalCentered="1" verticalCentered="1"/>
  <pageMargins left="0.39370078740157483" right="0.39370078740157483" top="0.39370078740157483" bottom="0.39370078740157483" header="0.4921259845" footer="0.4921259845"/>
  <pageSetup paperSize="9" scale="6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92D050"/>
    <pageSetUpPr fitToPage="1"/>
  </sheetPr>
  <dimension ref="A1:AU46"/>
  <sheetViews>
    <sheetView view="pageBreakPreview" zoomScale="60" zoomScaleNormal="55" workbookViewId="0">
      <selection activeCell="G11" sqref="G11"/>
    </sheetView>
  </sheetViews>
  <sheetFormatPr baseColWidth="10" defaultColWidth="11.42578125" defaultRowHeight="12.75" x14ac:dyDescent="0.2"/>
  <cols>
    <col min="1" max="1" width="6.42578125" style="82" customWidth="1"/>
    <col min="2" max="2" width="3.7109375" style="82" customWidth="1"/>
    <col min="3" max="3" width="20.7109375" style="82" customWidth="1"/>
    <col min="4" max="4" width="5" style="82" customWidth="1"/>
    <col min="5" max="6" width="10.7109375" style="82" customWidth="1"/>
    <col min="7" max="7" width="4.7109375" style="82" customWidth="1"/>
    <col min="8" max="9" width="10.7109375" style="82" customWidth="1"/>
    <col min="10" max="10" width="5" style="82" customWidth="1"/>
    <col min="11" max="12" width="10.7109375" style="82" customWidth="1"/>
    <col min="13" max="17" width="5.7109375" style="82" customWidth="1"/>
    <col min="18" max="18" width="5" style="82" customWidth="1"/>
    <col min="19" max="20" width="10.7109375" style="82" customWidth="1"/>
    <col min="21" max="21" width="4.7109375" style="82" customWidth="1"/>
    <col min="22" max="23" width="10.7109375" style="82" customWidth="1"/>
    <col min="24" max="24" width="5" style="82" customWidth="1"/>
    <col min="25" max="26" width="10.7109375" style="82" customWidth="1"/>
    <col min="27" max="27" width="3.7109375" style="82" customWidth="1"/>
    <col min="28" max="29" width="10.7109375" style="82" customWidth="1"/>
    <col min="30" max="30" width="5.28515625" style="82" customWidth="1"/>
    <col min="31" max="31" width="11.42578125" style="82"/>
    <col min="32" max="32" width="4.140625" style="82" customWidth="1"/>
    <col min="33" max="39" width="11.42578125" style="82"/>
    <col min="40" max="40" width="3.42578125" style="82" customWidth="1"/>
    <col min="41" max="41" width="2.28515625" style="82" customWidth="1"/>
    <col min="42" max="43" width="5.7109375" style="82" customWidth="1"/>
    <col min="44" max="47" width="4.7109375" style="82" customWidth="1"/>
    <col min="48" max="16384" width="11.42578125" style="82"/>
  </cols>
  <sheetData>
    <row r="1" spans="1:47" s="358" customFormat="1" ht="34.9" customHeight="1" thickBot="1" x14ac:dyDescent="0.25">
      <c r="A1" s="852" t="s">
        <v>235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4" t="str">
        <f>Rens!A1</f>
        <v>Circuit Décathlon</v>
      </c>
      <c r="P1" s="854"/>
      <c r="Q1" s="854"/>
      <c r="R1" s="854"/>
      <c r="S1" s="854"/>
      <c r="T1" s="854"/>
      <c r="U1" s="854"/>
      <c r="V1" s="854"/>
      <c r="W1" s="854"/>
      <c r="X1" s="854"/>
      <c r="Y1" s="854"/>
      <c r="Z1" s="854"/>
      <c r="AA1" s="854"/>
      <c r="AB1" s="854"/>
      <c r="AC1" s="854"/>
      <c r="AD1" s="854"/>
      <c r="AF1" s="359"/>
      <c r="AG1" s="855" t="s">
        <v>88</v>
      </c>
      <c r="AH1" s="855"/>
      <c r="AI1" s="855"/>
      <c r="AJ1" s="855"/>
      <c r="AK1" s="855"/>
      <c r="AL1" s="855"/>
      <c r="AM1" s="360"/>
      <c r="AN1" s="361"/>
      <c r="AO1" s="362"/>
      <c r="AP1" s="363" t="s">
        <v>89</v>
      </c>
      <c r="AQ1" s="364"/>
      <c r="AR1" s="365" t="str">
        <f>poA</f>
        <v>A</v>
      </c>
      <c r="AS1" s="365" t="str">
        <f>poB</f>
        <v>B</v>
      </c>
      <c r="AT1" s="365">
        <f>poC</f>
        <v>0</v>
      </c>
      <c r="AU1" s="365">
        <f>poD</f>
        <v>0</v>
      </c>
    </row>
    <row r="2" spans="1:47" s="358" customFormat="1" ht="34.9" customHeight="1" thickBot="1" x14ac:dyDescent="0.25">
      <c r="A2" s="852" t="s">
        <v>137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4" t="str">
        <f>Rens!B3</f>
        <v>FEM</v>
      </c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  <c r="AB2" s="854"/>
      <c r="AC2" s="854"/>
      <c r="AD2" s="854"/>
      <c r="AF2" s="366">
        <v>1</v>
      </c>
      <c r="AG2" s="359" t="str">
        <f t="shared" ref="AG2:AG20" si="0">MID(AH2,1,2)</f>
        <v>A1</v>
      </c>
      <c r="AH2" s="359" t="str">
        <f>'Poules A-B'!AB9</f>
        <v>A1</v>
      </c>
      <c r="AI2" s="367">
        <v>1</v>
      </c>
      <c r="AJ2" s="367" t="str">
        <f>poA&amp;1</f>
        <v>A1</v>
      </c>
      <c r="AK2" s="367" t="str">
        <f t="shared" ref="AK2:AK20" si="1">VLOOKUP(ponum,clpo,2,FALSE)</f>
        <v>A1</v>
      </c>
      <c r="AL2" s="367" t="str">
        <f t="shared" ref="AL2:AL20" si="2">MID(AK2,3,2)</f>
        <v/>
      </c>
      <c r="AM2" s="368"/>
      <c r="AN2" s="369"/>
      <c r="AO2" s="370"/>
      <c r="AP2" s="363" t="s">
        <v>34</v>
      </c>
      <c r="AQ2" s="371"/>
      <c r="AR2" s="372">
        <v>1</v>
      </c>
      <c r="AS2" s="373">
        <v>2</v>
      </c>
      <c r="AT2" s="373">
        <v>3</v>
      </c>
      <c r="AU2" s="374">
        <v>4</v>
      </c>
    </row>
    <row r="3" spans="1:47" s="358" customFormat="1" ht="34.9" customHeight="1" thickBot="1" x14ac:dyDescent="0.25">
      <c r="A3" s="852" t="s">
        <v>155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4">
        <f>Rens!E2</f>
        <v>1</v>
      </c>
      <c r="P3" s="854"/>
      <c r="Q3" s="854"/>
      <c r="R3" s="854"/>
      <c r="S3" s="854"/>
      <c r="T3" s="854"/>
      <c r="U3" s="854"/>
      <c r="V3" s="854"/>
      <c r="W3" s="854"/>
      <c r="X3" s="854"/>
      <c r="Y3" s="854"/>
      <c r="Z3" s="854"/>
      <c r="AA3" s="854"/>
      <c r="AB3" s="854"/>
      <c r="AC3" s="854"/>
      <c r="AD3" s="854"/>
      <c r="AF3" s="366"/>
      <c r="AG3" s="359"/>
      <c r="AH3" s="359"/>
      <c r="AI3" s="367"/>
      <c r="AJ3" s="367"/>
      <c r="AK3" s="367"/>
      <c r="AL3" s="367"/>
      <c r="AM3" s="375"/>
      <c r="AN3" s="376"/>
      <c r="AO3" s="377"/>
      <c r="AP3" s="363"/>
      <c r="AQ3" s="371"/>
      <c r="AR3" s="372"/>
      <c r="AS3" s="373"/>
      <c r="AT3" s="373"/>
      <c r="AU3" s="374"/>
    </row>
    <row r="4" spans="1:47" s="358" customFormat="1" ht="34.9" customHeight="1" thickBot="1" x14ac:dyDescent="0.25">
      <c r="A4" s="852" t="s">
        <v>236</v>
      </c>
      <c r="B4" s="852"/>
      <c r="C4" s="852"/>
      <c r="D4" s="852"/>
      <c r="E4" s="852"/>
      <c r="F4" s="852"/>
      <c r="G4" s="852"/>
      <c r="H4" s="852"/>
      <c r="I4" s="852"/>
      <c r="J4" s="852"/>
      <c r="K4" s="852"/>
      <c r="L4" s="852"/>
      <c r="M4" s="852"/>
      <c r="N4" s="852"/>
      <c r="O4" s="853">
        <f>Rens!B4</f>
        <v>43421</v>
      </c>
      <c r="P4" s="853"/>
      <c r="Q4" s="853"/>
      <c r="R4" s="853"/>
      <c r="S4" s="853"/>
      <c r="T4" s="853"/>
      <c r="U4" s="853"/>
      <c r="V4" s="853"/>
      <c r="W4" s="853"/>
      <c r="X4" s="853"/>
      <c r="Y4" s="853"/>
      <c r="Z4" s="853"/>
      <c r="AA4" s="853"/>
      <c r="AB4" s="853"/>
      <c r="AC4" s="853"/>
      <c r="AD4" s="853"/>
      <c r="AF4" s="366"/>
      <c r="AG4" s="359"/>
      <c r="AH4" s="359"/>
      <c r="AI4" s="367"/>
      <c r="AJ4" s="367"/>
      <c r="AK4" s="367"/>
      <c r="AL4" s="367"/>
      <c r="AM4" s="375"/>
      <c r="AN4" s="376"/>
      <c r="AO4" s="377"/>
      <c r="AP4" s="363"/>
      <c r="AQ4" s="371"/>
      <c r="AR4" s="372"/>
      <c r="AS4" s="373"/>
      <c r="AT4" s="373"/>
      <c r="AU4" s="374"/>
    </row>
    <row r="5" spans="1:47" ht="23.25" customHeight="1" thickBot="1" x14ac:dyDescent="0.25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F5" s="327"/>
      <c r="AG5" s="325"/>
      <c r="AH5" s="328"/>
      <c r="AI5" s="329"/>
      <c r="AJ5" s="329"/>
      <c r="AK5" s="329"/>
      <c r="AL5" s="329"/>
      <c r="AM5" s="335"/>
      <c r="AN5" s="336"/>
      <c r="AO5" s="337"/>
      <c r="AP5" s="330"/>
      <c r="AQ5" s="331"/>
      <c r="AR5" s="332"/>
      <c r="AS5" s="333"/>
      <c r="AT5" s="333"/>
      <c r="AU5" s="334"/>
    </row>
    <row r="6" spans="1:47" s="343" customFormat="1" ht="19.149999999999999" customHeight="1" thickBot="1" x14ac:dyDescent="0.25">
      <c r="A6" s="339"/>
      <c r="B6" s="340"/>
      <c r="C6" s="340"/>
      <c r="D6" s="341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F6" s="344"/>
      <c r="AG6" s="325" t="str">
        <f t="shared" si="0"/>
        <v>A8</v>
      </c>
      <c r="AH6" s="325" t="str">
        <f>'Poules A-B'!AB10</f>
        <v>A8</v>
      </c>
      <c r="AI6" s="345">
        <v>7</v>
      </c>
      <c r="AJ6" s="345" t="str">
        <f>poA&amp;2</f>
        <v>A2</v>
      </c>
      <c r="AK6" s="345" t="e">
        <f>VLOOKUP(ponum,clpo,2,FALSE)</f>
        <v>#N/A</v>
      </c>
      <c r="AL6" s="345" t="e">
        <f>MID(AK6,3,2)</f>
        <v>#N/A</v>
      </c>
      <c r="AM6" s="346" t="s">
        <v>4</v>
      </c>
      <c r="AN6" s="347"/>
      <c r="AO6" s="348"/>
      <c r="AP6" s="349" t="s">
        <v>59</v>
      </c>
      <c r="AQ6" s="350"/>
      <c r="AR6" s="332">
        <v>7</v>
      </c>
      <c r="AS6" s="333">
        <v>8</v>
      </c>
      <c r="AT6" s="333">
        <v>5</v>
      </c>
      <c r="AU6" s="334">
        <v>6</v>
      </c>
    </row>
    <row r="7" spans="1:47" s="76" customFormat="1" ht="27.75" customHeight="1" thickBot="1" x14ac:dyDescent="0.25">
      <c r="D7" s="435" t="s">
        <v>158</v>
      </c>
      <c r="E7" s="77"/>
      <c r="F7" s="78"/>
      <c r="G7" s="435" t="s">
        <v>157</v>
      </c>
      <c r="H7" s="78"/>
      <c r="I7" s="78"/>
      <c r="J7" s="435" t="s">
        <v>156</v>
      </c>
      <c r="K7" s="79"/>
      <c r="L7" s="78"/>
      <c r="M7" s="831" t="s">
        <v>90</v>
      </c>
      <c r="N7" s="831"/>
      <c r="O7" s="831"/>
      <c r="P7" s="831"/>
      <c r="Q7" s="831"/>
      <c r="R7" s="79"/>
      <c r="S7" s="831" t="s">
        <v>91</v>
      </c>
      <c r="T7" s="831"/>
      <c r="U7" s="79"/>
      <c r="V7" s="831" t="s">
        <v>92</v>
      </c>
      <c r="W7" s="831"/>
      <c r="X7" s="79"/>
      <c r="Y7" s="831" t="s">
        <v>93</v>
      </c>
      <c r="Z7" s="831"/>
      <c r="AA7" s="79"/>
      <c r="AB7" s="79"/>
      <c r="AF7" s="351"/>
      <c r="AG7" s="325" t="str">
        <f t="shared" si="0"/>
        <v>A9</v>
      </c>
      <c r="AH7" s="328" t="str">
        <f>'Poules A-B'!AB11</f>
        <v>A9</v>
      </c>
      <c r="AI7" s="329">
        <v>11</v>
      </c>
      <c r="AJ7" s="329" t="str">
        <f>poA&amp;3</f>
        <v>A3</v>
      </c>
      <c r="AK7" s="329" t="e">
        <f t="shared" si="1"/>
        <v>#N/A</v>
      </c>
      <c r="AL7" s="329" t="e">
        <f t="shared" si="2"/>
        <v>#N/A</v>
      </c>
      <c r="AM7" s="335"/>
      <c r="AN7" s="336"/>
      <c r="AO7" s="337"/>
      <c r="AP7" s="330" t="s">
        <v>60</v>
      </c>
      <c r="AQ7" s="331"/>
      <c r="AR7" s="332">
        <v>11</v>
      </c>
      <c r="AS7" s="333">
        <v>12</v>
      </c>
      <c r="AT7" s="333">
        <v>9</v>
      </c>
      <c r="AU7" s="334">
        <v>10</v>
      </c>
    </row>
    <row r="8" spans="1:47" s="80" customFormat="1" ht="27.75" customHeight="1" thickBot="1" x14ac:dyDescent="0.25">
      <c r="B8" s="449"/>
      <c r="C8" s="449"/>
      <c r="D8" s="834">
        <f>Rens!B36</f>
        <v>0</v>
      </c>
      <c r="E8" s="835"/>
      <c r="F8" s="835"/>
      <c r="G8" s="832">
        <f>Rens!B28</f>
        <v>0</v>
      </c>
      <c r="H8" s="833"/>
      <c r="I8" s="833"/>
      <c r="J8" s="832">
        <f>Rens!B21</f>
        <v>0</v>
      </c>
      <c r="K8" s="832"/>
      <c r="L8" s="832"/>
      <c r="M8" s="832">
        <f>Rens!B14</f>
        <v>0</v>
      </c>
      <c r="N8" s="832"/>
      <c r="O8" s="832"/>
      <c r="P8" s="832"/>
      <c r="Q8" s="832"/>
      <c r="R8" s="450"/>
      <c r="S8" s="832">
        <f>Rens!F21</f>
        <v>0</v>
      </c>
      <c r="T8" s="833"/>
      <c r="U8" s="450"/>
      <c r="V8" s="832">
        <f>Rens!F28</f>
        <v>0</v>
      </c>
      <c r="W8" s="833"/>
      <c r="X8" s="450"/>
      <c r="Y8" s="834">
        <f>Rens!F36</f>
        <v>0</v>
      </c>
      <c r="Z8" s="835"/>
      <c r="AA8" s="450"/>
      <c r="AB8" s="450"/>
      <c r="AF8" s="351"/>
      <c r="AG8" s="325" t="str">
        <f t="shared" si="0"/>
        <v>A1</v>
      </c>
      <c r="AH8" s="328" t="str">
        <f>'Poules A-B'!AB12</f>
        <v>A16</v>
      </c>
      <c r="AI8" s="329">
        <v>13</v>
      </c>
      <c r="AJ8" s="329" t="str">
        <f>poA&amp;4</f>
        <v>A4</v>
      </c>
      <c r="AK8" s="329" t="e">
        <f t="shared" si="1"/>
        <v>#N/A</v>
      </c>
      <c r="AL8" s="329" t="e">
        <f t="shared" si="2"/>
        <v>#N/A</v>
      </c>
      <c r="AM8" s="352"/>
      <c r="AN8" s="353"/>
      <c r="AO8" s="354"/>
      <c r="AP8" s="330" t="s">
        <v>62</v>
      </c>
      <c r="AQ8" s="331"/>
      <c r="AR8" s="355">
        <v>13</v>
      </c>
      <c r="AS8" s="356">
        <v>14</v>
      </c>
      <c r="AT8" s="356">
        <v>15</v>
      </c>
      <c r="AU8" s="357">
        <v>16</v>
      </c>
    </row>
    <row r="9" spans="1:47" ht="24.95" customHeight="1" x14ac:dyDescent="0.2">
      <c r="A9" s="382"/>
      <c r="B9" s="382"/>
      <c r="C9" s="382"/>
      <c r="D9" s="81"/>
      <c r="J9" s="451">
        <v>16</v>
      </c>
      <c r="M9" s="452"/>
      <c r="N9" s="452"/>
      <c r="O9" s="452"/>
      <c r="P9" s="452"/>
      <c r="Q9" s="452"/>
      <c r="R9" s="451">
        <v>1</v>
      </c>
      <c r="S9" s="452"/>
      <c r="T9" s="452"/>
      <c r="U9" s="452"/>
      <c r="V9" s="452"/>
      <c r="W9" s="452"/>
      <c r="X9" s="452"/>
      <c r="Y9" s="452"/>
      <c r="Z9" s="452"/>
      <c r="AA9" s="452"/>
      <c r="AB9" s="452"/>
      <c r="AF9" s="327">
        <v>2</v>
      </c>
      <c r="AG9" s="325" t="str">
        <f t="shared" si="0"/>
        <v>B2</v>
      </c>
      <c r="AH9" s="328" t="str">
        <f>'Poules A-B'!AB38</f>
        <v>B2</v>
      </c>
      <c r="AI9" s="329">
        <v>2</v>
      </c>
      <c r="AJ9" s="329" t="str">
        <f>poB&amp;1</f>
        <v>B1</v>
      </c>
      <c r="AK9" s="329" t="str">
        <f t="shared" si="1"/>
        <v>B10</v>
      </c>
      <c r="AL9" s="329" t="str">
        <f t="shared" si="2"/>
        <v>0</v>
      </c>
    </row>
    <row r="10" spans="1:47" ht="24.95" customHeight="1" x14ac:dyDescent="0.2">
      <c r="A10" s="382"/>
      <c r="B10" s="382"/>
      <c r="C10" s="382"/>
      <c r="D10" s="83"/>
      <c r="E10" s="83"/>
      <c r="F10" s="83"/>
      <c r="G10" s="83"/>
      <c r="H10" s="83"/>
      <c r="I10" s="83"/>
      <c r="J10" s="453" t="str">
        <f>IF(TF="N","",VALUE(VLOOKUP(J9,TIR,4,FALSE)))</f>
        <v/>
      </c>
      <c r="K10" s="454" t="str">
        <f>IF(J10="","",VLOOKUP(J10,liste!$A$9:$I$145,2,FALSE))</f>
        <v/>
      </c>
      <c r="L10" s="84"/>
      <c r="M10" s="451">
        <v>9</v>
      </c>
      <c r="N10" s="83"/>
      <c r="O10" s="83"/>
      <c r="P10" s="83"/>
      <c r="Q10" s="83"/>
      <c r="R10" s="453" t="str">
        <f>IF(TF="N","",VALUE(VLOOKUP(R9,TIR,4,FALSE)))</f>
        <v/>
      </c>
      <c r="S10" s="454" t="str">
        <f>IF(R10="","",VLOOKUP(R10,liste!$A$9:$I$145,2,FALSE))</f>
        <v/>
      </c>
      <c r="T10" s="84"/>
      <c r="U10" s="85"/>
      <c r="V10" s="83"/>
      <c r="W10" s="83"/>
      <c r="X10" s="83"/>
      <c r="Y10" s="83"/>
      <c r="Z10" s="83"/>
      <c r="AA10" s="83"/>
      <c r="AB10" s="83"/>
      <c r="AC10" s="83"/>
      <c r="AD10" s="83"/>
      <c r="AF10" s="351"/>
      <c r="AG10" s="325" t="str">
        <f t="shared" si="0"/>
        <v>B7</v>
      </c>
      <c r="AH10" s="328" t="str">
        <f>'Poules A-B'!AB39</f>
        <v>B7</v>
      </c>
      <c r="AI10" s="329">
        <v>8</v>
      </c>
      <c r="AJ10" s="329" t="str">
        <f>poB&amp;2</f>
        <v>B2</v>
      </c>
      <c r="AK10" s="329" t="str">
        <f t="shared" si="1"/>
        <v>B2</v>
      </c>
      <c r="AL10" s="329" t="str">
        <f t="shared" si="2"/>
        <v/>
      </c>
    </row>
    <row r="11" spans="1:47" ht="24.95" customHeight="1" x14ac:dyDescent="0.2">
      <c r="D11" s="83"/>
      <c r="E11" s="83"/>
      <c r="F11" s="83"/>
      <c r="G11" s="515"/>
      <c r="H11" s="454" t="str">
        <f>IF(G11="","",VLOOKUP(G11,liste!$A$9:$I$145,2,FALSE))</f>
        <v/>
      </c>
      <c r="I11" s="84"/>
      <c r="J11" s="87"/>
      <c r="K11" s="455" t="str">
        <f>IF(TF="n","","T."&amp;Rens!C21)</f>
        <v/>
      </c>
      <c r="L11" s="456" t="s">
        <v>94</v>
      </c>
      <c r="M11" s="453" t="str">
        <f>IF(TF="N","",VALUE(VLOOKUP(M10,TIR,4,FALSE)))</f>
        <v/>
      </c>
      <c r="N11" s="457" t="str">
        <f>IF(M11="","",VLOOKUP(M11,liste!$A$9:$I$145,2,FALSE))</f>
        <v/>
      </c>
      <c r="O11" s="83"/>
      <c r="P11" s="83"/>
      <c r="Q11" s="83"/>
      <c r="R11" s="86"/>
      <c r="S11" s="458" t="s">
        <v>36</v>
      </c>
      <c r="T11" s="459" t="str">
        <f>IF(TF="N","","T."&amp;Rens!G21)</f>
        <v/>
      </c>
      <c r="U11" s="512"/>
      <c r="V11" s="454" t="str">
        <f>IF(U11="","",VLOOKUP(U11,liste!$A$9:$I$145,2,FALSE))</f>
        <v/>
      </c>
      <c r="W11" s="84"/>
      <c r="X11" s="85"/>
      <c r="Y11" s="83"/>
      <c r="Z11" s="83"/>
      <c r="AA11" s="83"/>
      <c r="AB11" s="83"/>
      <c r="AC11" s="83"/>
      <c r="AD11" s="83"/>
      <c r="AF11" s="351"/>
      <c r="AG11" s="325" t="str">
        <f t="shared" si="0"/>
        <v>B1</v>
      </c>
      <c r="AH11" s="328" t="str">
        <f>'Poules A-B'!AB40</f>
        <v>B10</v>
      </c>
      <c r="AI11" s="329">
        <v>12</v>
      </c>
      <c r="AJ11" s="329" t="str">
        <f>poB&amp;3</f>
        <v>B3</v>
      </c>
      <c r="AK11" s="329" t="e">
        <f t="shared" si="1"/>
        <v>#N/A</v>
      </c>
      <c r="AL11" s="329" t="e">
        <f t="shared" si="2"/>
        <v>#N/A</v>
      </c>
    </row>
    <row r="12" spans="1:47" ht="24.95" customHeight="1" x14ac:dyDescent="0.2">
      <c r="D12" s="83"/>
      <c r="E12" s="83"/>
      <c r="F12" s="83"/>
      <c r="G12" s="87"/>
      <c r="H12" s="201"/>
      <c r="I12" s="202"/>
      <c r="J12" s="460" t="str">
        <f>IF(R12="","",IF(R12=M11,M13,IF(R12=M13,M11)))</f>
        <v/>
      </c>
      <c r="K12" s="454" t="str">
        <f>IF(J12="","",VLOOKUP(J12,liste!$A$9:$I$145,2,FALSE))</f>
        <v/>
      </c>
      <c r="L12" s="88"/>
      <c r="M12" s="451">
        <v>8</v>
      </c>
      <c r="N12" s="823"/>
      <c r="O12" s="824"/>
      <c r="P12" s="824"/>
      <c r="Q12" s="461" t="str">
        <f>IF(TF="n","","T."&amp;Rens!C14)</f>
        <v/>
      </c>
      <c r="R12" s="513"/>
      <c r="S12" s="454" t="str">
        <f>IF(R12="","",VLOOKUP(R12,liste!$A$9:$I$145,2,FALSE))</f>
        <v/>
      </c>
      <c r="T12" s="89"/>
      <c r="U12" s="90"/>
      <c r="V12" s="436"/>
      <c r="W12" s="437"/>
      <c r="X12" s="91"/>
      <c r="Y12" s="91"/>
      <c r="Z12" s="83"/>
      <c r="AA12" s="83"/>
      <c r="AB12" s="83"/>
      <c r="AC12" s="83"/>
      <c r="AD12" s="83"/>
      <c r="AF12" s="351"/>
      <c r="AG12" s="325" t="str">
        <f t="shared" si="0"/>
        <v>B1</v>
      </c>
      <c r="AH12" s="328" t="str">
        <f>'Poules A-B'!AB41</f>
        <v>B15</v>
      </c>
      <c r="AI12" s="329">
        <v>14</v>
      </c>
      <c r="AJ12" s="329" t="str">
        <f>poB&amp;4</f>
        <v>B4</v>
      </c>
      <c r="AK12" s="329" t="e">
        <f>VLOOKUP(ponum,clpo,2,FALSE)</f>
        <v>#N/A</v>
      </c>
      <c r="AL12" s="329" t="e">
        <f t="shared" si="2"/>
        <v>#N/A</v>
      </c>
    </row>
    <row r="13" spans="1:47" ht="24.95" customHeight="1" x14ac:dyDescent="0.2">
      <c r="D13" s="83"/>
      <c r="E13" s="83"/>
      <c r="F13" s="83"/>
      <c r="G13" s="92"/>
      <c r="H13" s="91"/>
      <c r="I13" s="91"/>
      <c r="J13" s="84"/>
      <c r="K13" s="849"/>
      <c r="L13" s="850"/>
      <c r="M13" s="453" t="str">
        <f>IF(TF="N","",VALUE(VLOOKUP(M12,TIR,4,FALSE)))</f>
        <v/>
      </c>
      <c r="N13" s="457" t="str">
        <f>IF(M13="","",VLOOKUP(M13,liste!$A$9:$I$145,2,FALSE))</f>
        <v/>
      </c>
      <c r="O13" s="93"/>
      <c r="P13" s="93"/>
      <c r="Q13" s="94"/>
      <c r="R13" s="95"/>
      <c r="S13" s="827"/>
      <c r="T13" s="827"/>
      <c r="U13" s="83"/>
      <c r="V13" s="83"/>
      <c r="W13" s="96"/>
      <c r="X13" s="91"/>
      <c r="Y13" s="91"/>
      <c r="Z13" s="83"/>
      <c r="AA13" s="83"/>
      <c r="AB13" s="83"/>
      <c r="AC13" s="83"/>
      <c r="AD13" s="83"/>
      <c r="AF13" s="327">
        <v>3</v>
      </c>
      <c r="AG13" s="325" t="str">
        <f t="shared" si="0"/>
        <v>C3</v>
      </c>
      <c r="AH13" s="328" t="str">
        <f>'Poules C-D'!AB9</f>
        <v>C3</v>
      </c>
      <c r="AI13" s="329">
        <v>3</v>
      </c>
      <c r="AJ13" s="329" t="str">
        <f>poC&amp;1</f>
        <v>1</v>
      </c>
      <c r="AK13" s="329" t="e">
        <f>VLOOKUP(ponum,clpo,2,FALSE)</f>
        <v>#N/A</v>
      </c>
      <c r="AL13" s="329" t="e">
        <f>MID(AK13,3,2)</f>
        <v>#N/A</v>
      </c>
    </row>
    <row r="14" spans="1:47" ht="24.95" customHeight="1" x14ac:dyDescent="0.2">
      <c r="C14" s="82" t="s">
        <v>5</v>
      </c>
      <c r="D14" s="515"/>
      <c r="E14" s="454" t="str">
        <f>IF(D14="","",VLOOKUP(D14,liste!$A$9:$I$145,2,FALSE))</f>
        <v/>
      </c>
      <c r="F14" s="84"/>
      <c r="G14" s="92" t="s">
        <v>95</v>
      </c>
      <c r="H14" s="462" t="str">
        <f>IF(TF="n","","T."&amp;Rens!C28)</f>
        <v/>
      </c>
      <c r="I14" s="91"/>
      <c r="J14" s="83"/>
      <c r="K14" s="83"/>
      <c r="L14" s="83"/>
      <c r="M14" s="451">
        <v>5</v>
      </c>
      <c r="N14" s="851"/>
      <c r="O14" s="845"/>
      <c r="P14" s="845"/>
      <c r="Q14" s="845"/>
      <c r="R14" s="91"/>
      <c r="S14" s="95"/>
      <c r="T14" s="83"/>
      <c r="U14" s="83"/>
      <c r="V14" s="463" t="str">
        <f>IF(TF="n","","T."&amp;Rens!G28)</f>
        <v/>
      </c>
      <c r="W14" s="464" t="s">
        <v>33</v>
      </c>
      <c r="X14" s="512"/>
      <c r="Y14" s="454" t="str">
        <f>IF(X14="","",VLOOKUP(X14,liste!$A$9:$I$145,2,FALSE))</f>
        <v/>
      </c>
      <c r="Z14" s="84"/>
      <c r="AA14" s="95"/>
      <c r="AB14" s="97"/>
      <c r="AC14" s="83"/>
      <c r="AD14" s="83"/>
      <c r="AF14" s="351"/>
      <c r="AG14" s="325" t="str">
        <f t="shared" si="0"/>
        <v>C6</v>
      </c>
      <c r="AH14" s="328" t="str">
        <f>'Poules C-D'!AB10</f>
        <v>C6</v>
      </c>
      <c r="AI14" s="329">
        <v>5</v>
      </c>
      <c r="AJ14" s="329" t="str">
        <f>poC&amp;2</f>
        <v>2</v>
      </c>
      <c r="AK14" s="329" t="e">
        <f t="shared" si="1"/>
        <v>#N/A</v>
      </c>
      <c r="AL14" s="329" t="e">
        <f t="shared" si="2"/>
        <v>#N/A</v>
      </c>
    </row>
    <row r="15" spans="1:47" ht="24.95" customHeight="1" x14ac:dyDescent="0.2">
      <c r="D15" s="87"/>
      <c r="E15" s="98"/>
      <c r="F15" s="98"/>
      <c r="G15" s="465"/>
      <c r="H15" s="97"/>
      <c r="I15" s="91"/>
      <c r="J15" s="83"/>
      <c r="K15" s="83"/>
      <c r="L15" s="83"/>
      <c r="M15" s="453" t="str">
        <f>IF(TF="N","",VALUE(VLOOKUP(M14,TIR,4,FALSE)))</f>
        <v/>
      </c>
      <c r="N15" s="457" t="str">
        <f>IF(M15="","",VLOOKUP(M15,liste!$A$9:$I$145,2,FALSE))</f>
        <v/>
      </c>
      <c r="O15" s="83"/>
      <c r="P15" s="83"/>
      <c r="Q15" s="83"/>
      <c r="R15" s="83"/>
      <c r="S15" s="85"/>
      <c r="T15" s="83"/>
      <c r="U15" s="83"/>
      <c r="V15" s="83"/>
      <c r="W15" s="466"/>
      <c r="X15" s="98"/>
      <c r="Y15" s="847"/>
      <c r="Z15" s="848"/>
      <c r="AA15" s="91"/>
      <c r="AB15" s="91"/>
      <c r="AC15" s="83"/>
      <c r="AD15" s="83"/>
      <c r="AF15" s="351"/>
      <c r="AG15" s="325" t="str">
        <f t="shared" si="0"/>
        <v>C1</v>
      </c>
      <c r="AH15" s="328" t="str">
        <f>'Poules C-D'!AB11</f>
        <v>C11</v>
      </c>
      <c r="AI15" s="329">
        <v>9</v>
      </c>
      <c r="AJ15" s="329" t="str">
        <f>poC&amp;3</f>
        <v>3</v>
      </c>
      <c r="AK15" s="329" t="e">
        <f t="shared" si="1"/>
        <v>#N/A</v>
      </c>
      <c r="AL15" s="329" t="e">
        <f t="shared" si="2"/>
        <v>#N/A</v>
      </c>
    </row>
    <row r="16" spans="1:47" ht="24.95" customHeight="1" x14ac:dyDescent="0.2">
      <c r="D16" s="92"/>
      <c r="E16" s="91"/>
      <c r="F16" s="91"/>
      <c r="G16" s="92"/>
      <c r="H16" s="91"/>
      <c r="I16" s="91"/>
      <c r="J16" s="467" t="str">
        <f>IF(R16="","",IF(R16=M15,M17,IF(R16=M17,M15)))</f>
        <v/>
      </c>
      <c r="K16" s="454" t="str">
        <f>IF(J16="","",VLOOKUP(J16,liste!$A$9:$I$145,2,FALSE))</f>
        <v/>
      </c>
      <c r="L16" s="84"/>
      <c r="M16" s="451">
        <v>12</v>
      </c>
      <c r="N16" s="823"/>
      <c r="O16" s="824"/>
      <c r="P16" s="824"/>
      <c r="Q16" s="461" t="str">
        <f>IF(TF="n","","T."&amp;Rens!C15)</f>
        <v/>
      </c>
      <c r="R16" s="512"/>
      <c r="S16" s="454" t="str">
        <f>IF(R16="","",VLOOKUP(R16,liste!$A$9:$I$145,2,FALSE))</f>
        <v/>
      </c>
      <c r="T16" s="84"/>
      <c r="U16" s="85"/>
      <c r="V16" s="83"/>
      <c r="W16" s="96"/>
      <c r="X16" s="91"/>
      <c r="Y16" s="91"/>
      <c r="Z16" s="96"/>
      <c r="AA16" s="91"/>
      <c r="AB16" s="91"/>
      <c r="AC16" s="83"/>
      <c r="AD16" s="83"/>
      <c r="AF16" s="351"/>
      <c r="AG16" s="325" t="str">
        <f t="shared" si="0"/>
        <v>C1</v>
      </c>
      <c r="AH16" s="328" t="str">
        <f>'Poules C-D'!AB12</f>
        <v>C14</v>
      </c>
      <c r="AI16" s="329">
        <v>15</v>
      </c>
      <c r="AJ16" s="329" t="str">
        <f>poC&amp;4</f>
        <v>4</v>
      </c>
      <c r="AK16" s="329" t="e">
        <f t="shared" si="1"/>
        <v>#N/A</v>
      </c>
      <c r="AL16" s="329" t="e">
        <f t="shared" si="2"/>
        <v>#N/A</v>
      </c>
    </row>
    <row r="17" spans="1:38" ht="24.95" customHeight="1" x14ac:dyDescent="0.2">
      <c r="D17" s="92"/>
      <c r="E17" s="91"/>
      <c r="F17" s="91"/>
      <c r="G17" s="514"/>
      <c r="H17" s="454" t="str">
        <f>IF(G17="","",VLOOKUP(G17,liste!$A$9:$I$145,2,FALSE))</f>
        <v/>
      </c>
      <c r="I17" s="88"/>
      <c r="J17" s="451">
        <v>13</v>
      </c>
      <c r="K17" s="468" t="str">
        <f>IF(TF="n","","T."&amp;Rens!C22)</f>
        <v/>
      </c>
      <c r="L17" s="456" t="s">
        <v>96</v>
      </c>
      <c r="M17" s="453" t="str">
        <f>IF(TF="N","",VALUE(VLOOKUP(M16,TIR,4,FALSE)))</f>
        <v/>
      </c>
      <c r="N17" s="457" t="str">
        <f>IF(M17="","",VLOOKUP(M17,liste!$A$9:$I$145,2,FALSE))</f>
        <v/>
      </c>
      <c r="O17" s="93"/>
      <c r="P17" s="93"/>
      <c r="Q17" s="93"/>
      <c r="R17" s="451">
        <v>4</v>
      </c>
      <c r="S17" s="458" t="s">
        <v>61</v>
      </c>
      <c r="T17" s="469" t="str">
        <f>IF(TF="n","","T."&amp;Rens!G22)</f>
        <v/>
      </c>
      <c r="U17" s="513"/>
      <c r="V17" s="454" t="str">
        <f>IF(U17="","",VLOOKUP(U17,liste!$A$9:$I$145,2,FALSE))</f>
        <v/>
      </c>
      <c r="W17" s="89"/>
      <c r="X17" s="95"/>
      <c r="Y17" s="91"/>
      <c r="Z17" s="96"/>
      <c r="AA17" s="91"/>
      <c r="AB17" s="91"/>
      <c r="AC17" s="83"/>
      <c r="AD17" s="83"/>
      <c r="AF17" s="327">
        <v>4</v>
      </c>
      <c r="AG17" s="325" t="str">
        <f>MID(AH17,1,2)</f>
        <v>D4</v>
      </c>
      <c r="AH17" s="328" t="str">
        <f>'Poules C-D'!AB38</f>
        <v>D4</v>
      </c>
      <c r="AI17" s="329">
        <v>4</v>
      </c>
      <c r="AJ17" s="329" t="str">
        <f>poD&amp;1</f>
        <v>1</v>
      </c>
      <c r="AK17" s="329" t="e">
        <f>VLOOKUP(ponum,clpo,2,FALSE)</f>
        <v>#N/A</v>
      </c>
      <c r="AL17" s="329" t="e">
        <f t="shared" si="2"/>
        <v>#N/A</v>
      </c>
    </row>
    <row r="18" spans="1:38" ht="24.95" customHeight="1" x14ac:dyDescent="0.2">
      <c r="A18" s="118"/>
      <c r="D18" s="92"/>
      <c r="E18" s="91"/>
      <c r="F18" s="91"/>
      <c r="G18" s="91"/>
      <c r="H18" s="839"/>
      <c r="I18" s="840"/>
      <c r="J18" s="453" t="str">
        <f>IF(TF="N","",VALUE(VLOOKUP(J17,TIR,4,FALSE)))</f>
        <v/>
      </c>
      <c r="K18" s="470" t="str">
        <f>IF(J18="","",VLOOKUP(J18,liste!$A$9:$I$145,2,FALSE))</f>
        <v/>
      </c>
      <c r="L18" s="88"/>
      <c r="M18" s="99"/>
      <c r="N18" s="845"/>
      <c r="O18" s="845"/>
      <c r="P18" s="845"/>
      <c r="Q18" s="846"/>
      <c r="R18" s="453" t="str">
        <f>IF(TF="N","",VALUE(VLOOKUP(R17,TIR,4,FALSE)))</f>
        <v/>
      </c>
      <c r="S18" s="454" t="str">
        <f>IF(R18="","",VLOOKUP(R18,liste!$A$9:$I$145,2,FALSE))</f>
        <v/>
      </c>
      <c r="T18" s="89"/>
      <c r="U18" s="95"/>
      <c r="V18" s="838"/>
      <c r="W18" s="838"/>
      <c r="X18" s="83"/>
      <c r="Y18" s="83"/>
      <c r="Z18" s="96"/>
      <c r="AA18" s="91"/>
      <c r="AB18" s="91"/>
      <c r="AC18" s="83"/>
      <c r="AD18" s="83"/>
      <c r="AF18" s="351"/>
      <c r="AG18" s="325" t="str">
        <f t="shared" si="0"/>
        <v>D5</v>
      </c>
      <c r="AH18" s="328" t="str">
        <f>'Poules C-D'!AB39</f>
        <v>D5</v>
      </c>
      <c r="AI18" s="329">
        <v>6</v>
      </c>
      <c r="AJ18" s="329" t="str">
        <f>poD&amp;2</f>
        <v>2</v>
      </c>
      <c r="AK18" s="329" t="e">
        <f t="shared" si="1"/>
        <v>#N/A</v>
      </c>
      <c r="AL18" s="329" t="e">
        <f t="shared" si="2"/>
        <v>#N/A</v>
      </c>
    </row>
    <row r="19" spans="1:38" ht="24.95" customHeight="1" x14ac:dyDescent="0.2">
      <c r="A19" s="471" t="s">
        <v>238</v>
      </c>
      <c r="B19" s="513"/>
      <c r="C19" s="454" t="str">
        <f>IF(B19="","",VLOOKUP(B19,liste!$A$9:$I$145,2,FALSE))</f>
        <v/>
      </c>
      <c r="D19" s="465"/>
      <c r="E19" s="462" t="str">
        <f>IF(TF="n","","T."&amp;Rens!C36)</f>
        <v/>
      </c>
      <c r="F19" s="91"/>
      <c r="G19" s="91"/>
      <c r="H19" s="83"/>
      <c r="I19" s="83"/>
      <c r="J19" s="472">
        <v>14</v>
      </c>
      <c r="K19" s="827"/>
      <c r="L19" s="827"/>
      <c r="M19" s="99"/>
      <c r="N19" s="83"/>
      <c r="O19" s="83"/>
      <c r="P19" s="83"/>
      <c r="Q19" s="83"/>
      <c r="R19" s="472">
        <v>3</v>
      </c>
      <c r="S19" s="827"/>
      <c r="T19" s="827"/>
      <c r="U19" s="84"/>
      <c r="V19" s="83"/>
      <c r="W19" s="83"/>
      <c r="X19" s="83"/>
      <c r="Y19" s="83"/>
      <c r="Z19" s="473" t="str">
        <f>IF(TF="n","","T."&amp;Rens!G36)</f>
        <v/>
      </c>
      <c r="AA19" s="513"/>
      <c r="AB19" s="454" t="str">
        <f>IF(AA19="","",VLOOKUP(AA19,liste!$A$9:$I$145,2,FALSE))</f>
        <v/>
      </c>
      <c r="AC19" s="88"/>
      <c r="AD19" s="474" t="s">
        <v>239</v>
      </c>
      <c r="AF19" s="351"/>
      <c r="AG19" s="325" t="str">
        <f t="shared" si="0"/>
        <v>D1</v>
      </c>
      <c r="AH19" s="328" t="str">
        <f>'Poules C-D'!AB40</f>
        <v>D12</v>
      </c>
      <c r="AI19" s="329">
        <v>10</v>
      </c>
      <c r="AJ19" s="329" t="str">
        <f>poD&amp;3</f>
        <v>3</v>
      </c>
      <c r="AK19" s="329" t="e">
        <f t="shared" si="1"/>
        <v>#N/A</v>
      </c>
      <c r="AL19" s="329" t="e">
        <f t="shared" si="2"/>
        <v>#N/A</v>
      </c>
    </row>
    <row r="20" spans="1:38" ht="24.95" customHeight="1" x14ac:dyDescent="0.2">
      <c r="A20" s="118"/>
      <c r="C20" s="438" t="str">
        <f>IF(B19="","",VLOOKUP(B19,liste!$A$9:$I$145,4)&amp;"-"&amp;(VLOOKUP(B19,liste!$A$9:$I$145,3)))</f>
        <v/>
      </c>
      <c r="D20" s="92"/>
      <c r="E20" s="91"/>
      <c r="F20" s="91"/>
      <c r="G20" s="91"/>
      <c r="H20" s="83"/>
      <c r="I20" s="83"/>
      <c r="J20" s="475" t="str">
        <f>IF(TF="N","",VALUE(VLOOKUP(J19,TIR,4,FALSE)))</f>
        <v/>
      </c>
      <c r="K20" s="454" t="str">
        <f>IF(J20="","",VLOOKUP(J20,liste!$A$9:$I$145,2,FALSE))</f>
        <v/>
      </c>
      <c r="L20" s="84"/>
      <c r="M20" s="451">
        <v>11</v>
      </c>
      <c r="N20" s="83"/>
      <c r="O20" s="83"/>
      <c r="P20" s="83"/>
      <c r="Q20" s="83"/>
      <c r="R20" s="475" t="str">
        <f>IF(TF="N","",VALUE(VLOOKUP(R19,TIR,4,FALSE)))</f>
        <v/>
      </c>
      <c r="S20" s="454" t="str">
        <f>IF(R20="","",VLOOKUP(R20,liste!$A$9:$I$145,2,FALSE))</f>
        <v/>
      </c>
      <c r="T20" s="84"/>
      <c r="U20" s="85"/>
      <c r="V20" s="83"/>
      <c r="W20" s="83"/>
      <c r="X20" s="83"/>
      <c r="Y20" s="83"/>
      <c r="Z20" s="96"/>
      <c r="AA20" s="91"/>
      <c r="AB20" s="837" t="str">
        <f>IF(AA19="","",VLOOKUP(AA19,liste!$A$9:$I$145,4)&amp;"-"&amp;(VLOOKUP(AA19,liste!$A$9:$I$145,3)))</f>
        <v/>
      </c>
      <c r="AC20" s="837"/>
      <c r="AD20" s="99"/>
      <c r="AF20" s="351"/>
      <c r="AG20" s="325" t="str">
        <f t="shared" si="0"/>
        <v>D1</v>
      </c>
      <c r="AH20" s="328" t="str">
        <f>'Poules C-D'!AB41</f>
        <v>D13</v>
      </c>
      <c r="AI20" s="329">
        <v>16</v>
      </c>
      <c r="AJ20" s="329" t="str">
        <f>poD&amp;4</f>
        <v>4</v>
      </c>
      <c r="AK20" s="329" t="e">
        <f t="shared" si="1"/>
        <v>#N/A</v>
      </c>
      <c r="AL20" s="329" t="e">
        <f t="shared" si="2"/>
        <v>#N/A</v>
      </c>
    </row>
    <row r="21" spans="1:38" ht="24.95" customHeight="1" x14ac:dyDescent="0.2">
      <c r="A21" s="118"/>
      <c r="D21" s="92"/>
      <c r="E21" s="91"/>
      <c r="F21" s="91"/>
      <c r="G21" s="515"/>
      <c r="H21" s="454" t="str">
        <f>IF(G21="","",VLOOKUP(G21,liste!$A$9:$I$145,2,FALSE))</f>
        <v/>
      </c>
      <c r="I21" s="84"/>
      <c r="J21" s="87"/>
      <c r="K21" s="455" t="str">
        <f>IF(TF="n","","T."&amp;Rens!C23)</f>
        <v/>
      </c>
      <c r="L21" s="456" t="s">
        <v>97</v>
      </c>
      <c r="M21" s="453" t="str">
        <f>IF(TF="N","",VALUE(VLOOKUP(M20,TIR,4,FALSE)))</f>
        <v/>
      </c>
      <c r="N21" s="457" t="str">
        <f>IF(M21="","",VLOOKUP(M21,liste!$A$9:$I$145,2,FALSE))</f>
        <v/>
      </c>
      <c r="O21" s="83"/>
      <c r="P21" s="83"/>
      <c r="Q21" s="83"/>
      <c r="R21" s="100" t="s">
        <v>5</v>
      </c>
      <c r="S21" s="458" t="s">
        <v>98</v>
      </c>
      <c r="T21" s="459" t="str">
        <f>IF(TF="n","","T."&amp;Rens!G23)</f>
        <v/>
      </c>
      <c r="U21" s="513"/>
      <c r="V21" s="454" t="str">
        <f>IF(U21="","",VLOOKUP(U21,liste!$A$9:$I$145,2,FALSE))</f>
        <v/>
      </c>
      <c r="W21" s="97"/>
      <c r="X21" s="85"/>
      <c r="Y21" s="83"/>
      <c r="Z21" s="96"/>
      <c r="AA21" s="91"/>
      <c r="AB21" s="91"/>
      <c r="AC21" s="83"/>
      <c r="AD21" s="99"/>
    </row>
    <row r="22" spans="1:38" ht="24.95" customHeight="1" x14ac:dyDescent="0.2">
      <c r="A22" s="118"/>
      <c r="D22" s="92"/>
      <c r="E22" s="91"/>
      <c r="F22" s="91"/>
      <c r="G22" s="87"/>
      <c r="H22" s="839"/>
      <c r="I22" s="840"/>
      <c r="J22" s="467" t="str">
        <f>IF(R22="","",IF(R22=M21,M23,IF(R22=M23,M21)))</f>
        <v/>
      </c>
      <c r="K22" s="454" t="str">
        <f>IF(J22="","",VLOOKUP(J22,liste!$A$9:$I$145,2,FALSE))</f>
        <v/>
      </c>
      <c r="L22" s="88"/>
      <c r="M22" s="451">
        <v>6</v>
      </c>
      <c r="N22" s="829"/>
      <c r="O22" s="830"/>
      <c r="P22" s="830"/>
      <c r="Q22" s="476" t="str">
        <f>IF(TF="n","","T."&amp;Rens!C16)</f>
        <v/>
      </c>
      <c r="R22" s="514"/>
      <c r="S22" s="454" t="str">
        <f>IF(R22="","",VLOOKUP(R22,liste!$A$9:$I$145,2,FALSE))</f>
        <v/>
      </c>
      <c r="T22" s="89"/>
      <c r="U22" s="90"/>
      <c r="V22" s="838"/>
      <c r="W22" s="844"/>
      <c r="X22" s="91"/>
      <c r="Y22" s="91"/>
      <c r="Z22" s="96"/>
      <c r="AA22" s="91"/>
      <c r="AB22" s="91"/>
      <c r="AC22" s="83"/>
      <c r="AD22" s="99"/>
    </row>
    <row r="23" spans="1:38" ht="24.95" customHeight="1" x14ac:dyDescent="0.2">
      <c r="A23" s="118"/>
      <c r="D23" s="92"/>
      <c r="E23" s="91"/>
      <c r="F23" s="91"/>
      <c r="G23" s="92"/>
      <c r="H23" s="91"/>
      <c r="I23" s="91"/>
      <c r="J23" s="84"/>
      <c r="K23" s="827"/>
      <c r="L23" s="828"/>
      <c r="M23" s="453" t="str">
        <f>IF(TF="N","",VALUE(VLOOKUP(M22,TIR,4,FALSE)))</f>
        <v/>
      </c>
      <c r="N23" s="457" t="str">
        <f>IF(M23="","",VLOOKUP(M23,liste!$A$9:$I$145,2,FALSE))</f>
        <v/>
      </c>
      <c r="O23" s="93"/>
      <c r="P23" s="93"/>
      <c r="Q23" s="94"/>
      <c r="R23" s="95"/>
      <c r="S23" s="827"/>
      <c r="T23" s="827"/>
      <c r="U23" s="83"/>
      <c r="V23" s="83"/>
      <c r="W23" s="96"/>
      <c r="X23" s="91"/>
      <c r="Y23" s="91"/>
      <c r="Z23" s="96"/>
      <c r="AA23" s="91"/>
      <c r="AB23" s="91"/>
      <c r="AC23" s="83"/>
      <c r="AD23" s="99"/>
    </row>
    <row r="24" spans="1:38" ht="24.95" customHeight="1" x14ac:dyDescent="0.2">
      <c r="A24" s="118"/>
      <c r="D24" s="514"/>
      <c r="E24" s="454" t="str">
        <f>IF(D24="","",VLOOKUP(D24,liste!$A$9:$I$145,2,FALSE))</f>
        <v/>
      </c>
      <c r="F24" s="88"/>
      <c r="G24" s="92" t="s">
        <v>72</v>
      </c>
      <c r="H24" s="462" t="str">
        <f>IF(TF="n","","T."&amp;Rens!C29)</f>
        <v/>
      </c>
      <c r="I24" s="91"/>
      <c r="J24" s="83"/>
      <c r="K24" s="83"/>
      <c r="L24" s="83"/>
      <c r="M24" s="451">
        <v>7</v>
      </c>
      <c r="N24" s="825"/>
      <c r="O24" s="826"/>
      <c r="P24" s="826"/>
      <c r="Q24" s="826"/>
      <c r="R24" s="83"/>
      <c r="S24" s="85"/>
      <c r="T24" s="83"/>
      <c r="U24" s="83"/>
      <c r="V24" s="463" t="str">
        <f>IF(TF="n","","T."&amp;Rens!G29)</f>
        <v/>
      </c>
      <c r="W24" s="464" t="s">
        <v>35</v>
      </c>
      <c r="X24" s="513"/>
      <c r="Y24" s="454" t="str">
        <f>IF(X24="","",VLOOKUP(X24,liste!$A$9:$I$145,2,FALSE))</f>
        <v/>
      </c>
      <c r="Z24" s="89"/>
      <c r="AA24" s="95"/>
      <c r="AB24" s="97"/>
      <c r="AC24" s="83"/>
      <c r="AD24" s="99"/>
    </row>
    <row r="25" spans="1:38" ht="24.95" customHeight="1" x14ac:dyDescent="0.2">
      <c r="A25" s="118"/>
      <c r="D25" s="91"/>
      <c r="E25" s="101"/>
      <c r="F25" s="83"/>
      <c r="G25" s="465"/>
      <c r="H25" s="97"/>
      <c r="I25" s="91"/>
      <c r="J25" s="83"/>
      <c r="K25" s="83"/>
      <c r="L25" s="83"/>
      <c r="M25" s="453" t="str">
        <f>IF(TF="N","",VALUE(VLOOKUP(M24,TIR,4,FALSE)))</f>
        <v/>
      </c>
      <c r="N25" s="457" t="str">
        <f>IF(M25="","",VLOOKUP(M25,liste!$A$9:$I$145,2,FALSE))</f>
        <v/>
      </c>
      <c r="O25" s="83"/>
      <c r="P25" s="83"/>
      <c r="Q25" s="83"/>
      <c r="R25" s="85" t="s">
        <v>5</v>
      </c>
      <c r="S25" s="85"/>
      <c r="T25" s="83"/>
      <c r="U25" s="83"/>
      <c r="V25" s="83"/>
      <c r="W25" s="466"/>
      <c r="X25" s="102"/>
      <c r="Y25" s="439"/>
      <c r="Z25" s="440"/>
      <c r="AA25" s="103"/>
      <c r="AB25" s="103"/>
      <c r="AC25" s="83"/>
      <c r="AD25" s="99"/>
    </row>
    <row r="26" spans="1:38" ht="24.95" customHeight="1" x14ac:dyDescent="0.2">
      <c r="A26" s="471" t="s">
        <v>240</v>
      </c>
      <c r="B26" s="467" t="str">
        <f>IF(B19="","",IF(B19=D14,D24,IF(B19=D24,D14)))</f>
        <v/>
      </c>
      <c r="C26" s="454" t="str">
        <f>IF(B26="","",VLOOKUP(B26,liste!$A$9:$I$145,2,FALSE))</f>
        <v/>
      </c>
      <c r="D26" s="104"/>
      <c r="E26" s="105"/>
      <c r="F26" s="83"/>
      <c r="G26" s="92"/>
      <c r="H26" s="91"/>
      <c r="I26" s="91"/>
      <c r="J26" s="467" t="str">
        <f>IF(R26="","",IF(R26=M25,M27,IF(R26=M27,M25)))</f>
        <v/>
      </c>
      <c r="K26" s="454" t="str">
        <f>IF(J26="","",VLOOKUP(J26,liste!$A$9:$I$145,2,FALSE))</f>
        <v/>
      </c>
      <c r="L26" s="84"/>
      <c r="M26" s="451">
        <v>10</v>
      </c>
      <c r="N26" s="829"/>
      <c r="O26" s="830"/>
      <c r="P26" s="830"/>
      <c r="Q26" s="461" t="str">
        <f>IF(TF="n","","T."&amp;Rens!C17)</f>
        <v/>
      </c>
      <c r="R26" s="512"/>
      <c r="S26" s="454" t="str">
        <f>IF(R26="","",VLOOKUP(R26,liste!$A$9:$I$145,2,FALSE))</f>
        <v/>
      </c>
      <c r="T26" s="84"/>
      <c r="U26" s="85"/>
      <c r="V26" s="83"/>
      <c r="W26" s="96"/>
      <c r="X26" s="91"/>
      <c r="Y26" s="91"/>
      <c r="Z26" s="106"/>
      <c r="AA26" s="467" t="str">
        <f>IF(AA19="","",IF(AA19=X14,X24,IF(AA19=X24,X14)))</f>
        <v/>
      </c>
      <c r="AB26" s="454" t="str">
        <f>IF(AA26="","",VLOOKUP(AA26,liste!$A$9:$I$145,2,FALSE))</f>
        <v/>
      </c>
      <c r="AC26" s="88"/>
      <c r="AD26" s="477" t="s">
        <v>241</v>
      </c>
    </row>
    <row r="27" spans="1:38" ht="24.95" customHeight="1" x14ac:dyDescent="0.2">
      <c r="A27" s="118"/>
      <c r="C27" s="204" t="str">
        <f>IF(B26="","",VLOOKUP(B26,liste!$A$9:$I$145,4)&amp;"-"&amp;(VLOOKUP(B26,liste!$A$9:$I$145,3)))</f>
        <v/>
      </c>
      <c r="D27" s="83"/>
      <c r="E27" s="83"/>
      <c r="F27" s="83"/>
      <c r="G27" s="514"/>
      <c r="H27" s="454" t="str">
        <f>IF(G27="","",VLOOKUP(G27,liste!$A$9:$I$145,2,FALSE))</f>
        <v/>
      </c>
      <c r="I27" s="88"/>
      <c r="J27" s="451">
        <v>15</v>
      </c>
      <c r="K27" s="468" t="str">
        <f>IF(TF="n","","T."&amp;Rens!C24)</f>
        <v/>
      </c>
      <c r="L27" s="456" t="s">
        <v>99</v>
      </c>
      <c r="M27" s="453" t="str">
        <f>IF(TF="N","",VALUE(VLOOKUP(M26,TIR,4,FALSE)))</f>
        <v/>
      </c>
      <c r="N27" s="457" t="str">
        <f>IF(M27="","",VLOOKUP(M27,liste!$A$9:$I$145,2,FALSE))</f>
        <v/>
      </c>
      <c r="O27" s="93"/>
      <c r="P27" s="93"/>
      <c r="Q27" s="93"/>
      <c r="R27" s="451">
        <v>2</v>
      </c>
      <c r="S27" s="458" t="s">
        <v>100</v>
      </c>
      <c r="T27" s="459" t="str">
        <f>IF(TF="n","","T."&amp;Rens!G24)</f>
        <v/>
      </c>
      <c r="U27" s="513"/>
      <c r="V27" s="454" t="str">
        <f>IF(U27="","",VLOOKUP(U27,liste!$A$9:$I$145,2,FALSE))</f>
        <v/>
      </c>
      <c r="W27" s="89"/>
      <c r="X27" s="85"/>
      <c r="Y27" s="91"/>
      <c r="Z27" s="83"/>
      <c r="AA27" s="83"/>
      <c r="AB27" s="836" t="str">
        <f>IF(AA26="","",VLOOKUP(AA26,liste!$A$9:$I$145,4)&amp;"-"&amp;(VLOOKUP(AA26,liste!$A$9:$I$145,3)))</f>
        <v/>
      </c>
      <c r="AC27" s="836"/>
      <c r="AD27" s="99"/>
      <c r="AF27" s="82" t="s">
        <v>101</v>
      </c>
    </row>
    <row r="28" spans="1:38" ht="24.95" customHeight="1" x14ac:dyDescent="0.2">
      <c r="A28" s="118"/>
      <c r="D28" s="83"/>
      <c r="E28" s="478" t="s">
        <v>125</v>
      </c>
      <c r="F28" s="83"/>
      <c r="G28" s="91"/>
      <c r="H28" s="107"/>
      <c r="I28" s="202"/>
      <c r="J28" s="453" t="str">
        <f>IF(TF="N","",VALUE(VLOOKUP(J27,TIR,4,FALSE)))</f>
        <v/>
      </c>
      <c r="K28" s="454" t="str">
        <f>IF(J28="","",VLOOKUP(J28,liste!$A$9:$I$145,2,FALSE))</f>
        <v/>
      </c>
      <c r="L28" s="88"/>
      <c r="M28" s="85" t="s">
        <v>5</v>
      </c>
      <c r="N28" s="827"/>
      <c r="O28" s="827"/>
      <c r="P28" s="827"/>
      <c r="Q28" s="828"/>
      <c r="R28" s="453" t="str">
        <f>IF(TF="N","",VALUE(VLOOKUP(R27,TIR,4,FALSE)))</f>
        <v/>
      </c>
      <c r="S28" s="454" t="str">
        <f>IF(R28="","",VLOOKUP(R28,liste!$A$9:$I$145,2,FALSE))</f>
        <v/>
      </c>
      <c r="T28" s="89"/>
      <c r="U28" s="91"/>
      <c r="V28" s="838"/>
      <c r="W28" s="838"/>
      <c r="X28" s="91"/>
      <c r="Y28" s="478" t="s">
        <v>128</v>
      </c>
      <c r="Z28" s="83"/>
      <c r="AA28" s="83"/>
      <c r="AB28" s="83"/>
      <c r="AC28" s="83"/>
      <c r="AD28" s="99"/>
    </row>
    <row r="29" spans="1:38" ht="24.95" customHeight="1" x14ac:dyDescent="0.2">
      <c r="A29" s="118"/>
      <c r="D29" s="467" t="str">
        <f>IF(D14="","",IF(D14=G11,G17,IF(D14=G17,G11)))</f>
        <v/>
      </c>
      <c r="E29" s="454" t="str">
        <f>IF(D29="","",VLOOKUP(D29,liste!$A$9:$I$145,2,FALSE))</f>
        <v/>
      </c>
      <c r="F29" s="88"/>
      <c r="G29" s="104"/>
      <c r="H29" s="105"/>
      <c r="I29" s="112" t="s">
        <v>102</v>
      </c>
      <c r="J29" s="91"/>
      <c r="K29" s="108"/>
      <c r="L29" s="203"/>
      <c r="M29" s="83"/>
      <c r="N29" s="83"/>
      <c r="O29" s="83"/>
      <c r="P29" s="83"/>
      <c r="Q29" s="83"/>
      <c r="R29" s="83"/>
      <c r="S29" s="108"/>
      <c r="T29" s="203"/>
      <c r="U29" s="95"/>
      <c r="V29" s="479" t="s">
        <v>103</v>
      </c>
      <c r="W29" s="109"/>
      <c r="X29" s="467" t="str">
        <f>IF(X14="","",IF(X14=U11,U17,IF(X14=U17,U11)))</f>
        <v/>
      </c>
      <c r="Y29" s="454" t="str">
        <f>IF(X29="","",VLOOKUP(X29,liste!$A$9:$I$145,2,FALSE))</f>
        <v/>
      </c>
      <c r="Z29" s="88"/>
      <c r="AA29" s="85"/>
      <c r="AB29" s="84"/>
      <c r="AC29" s="83"/>
      <c r="AD29" s="99"/>
    </row>
    <row r="30" spans="1:38" ht="24.95" customHeight="1" x14ac:dyDescent="0.2">
      <c r="A30" s="471" t="s">
        <v>242</v>
      </c>
      <c r="B30" s="513"/>
      <c r="C30" s="454" t="str">
        <f>IF(B30="","",VLOOKUP(B30,liste!$A$9:$I$145,2,FALSE))</f>
        <v/>
      </c>
      <c r="D30" s="92"/>
      <c r="E30" s="462" t="str">
        <f>IF(TF="n","","T."&amp;Rens!C37)</f>
        <v/>
      </c>
      <c r="F30" s="83"/>
      <c r="G30" s="102"/>
      <c r="H30" s="480"/>
      <c r="I30" s="83"/>
      <c r="J30" s="91"/>
      <c r="K30" s="101"/>
      <c r="L30" s="83"/>
      <c r="M30" s="83"/>
      <c r="N30" s="83"/>
      <c r="O30" s="83"/>
      <c r="P30" s="83"/>
      <c r="Q30" s="83"/>
      <c r="R30" s="83"/>
      <c r="S30" s="83"/>
      <c r="T30" s="110"/>
      <c r="U30" s="91"/>
      <c r="V30" s="83"/>
      <c r="W30" s="481"/>
      <c r="X30" s="102"/>
      <c r="Y30" s="98"/>
      <c r="Z30" s="459" t="str">
        <f>IF(TF="n","","T."&amp;Rens!G37)</f>
        <v/>
      </c>
      <c r="AA30" s="513"/>
      <c r="AB30" s="454" t="str">
        <f>IF(AA30="","",VLOOKUP(AA30,liste!$A$9:$I$145,2,FALSE))</f>
        <v/>
      </c>
      <c r="AC30" s="88"/>
      <c r="AD30" s="477" t="s">
        <v>243</v>
      </c>
    </row>
    <row r="31" spans="1:38" ht="24.95" customHeight="1" x14ac:dyDescent="0.2">
      <c r="A31" s="118"/>
      <c r="C31" s="438" t="str">
        <f>IF(B30="","",VLOOKUP(B30,liste!$A$9:$I$145,4)&amp;"-"&amp;(VLOOKUP(B30,liste!$A$9:$I$145,3)))</f>
        <v/>
      </c>
      <c r="D31" s="460" t="str">
        <f>IF(D24="","",IF(D24=G21,G27,IF(D24=G27,G21)))</f>
        <v/>
      </c>
      <c r="E31" s="454" t="str">
        <f>IF(D31="","",VLOOKUP(D31,liste!$A$9:$I$145,2,FALSE))</f>
        <v/>
      </c>
      <c r="F31" s="88"/>
      <c r="G31" s="104"/>
      <c r="H31" s="105"/>
      <c r="I31" s="112" t="s">
        <v>104</v>
      </c>
      <c r="J31" s="91"/>
      <c r="K31" s="101"/>
      <c r="L31" s="83"/>
      <c r="M31" s="83"/>
      <c r="N31" s="83"/>
      <c r="O31" s="83"/>
      <c r="P31" s="83"/>
      <c r="Q31" s="83"/>
      <c r="R31" s="83"/>
      <c r="S31" s="83"/>
      <c r="T31" s="110"/>
      <c r="U31" s="91"/>
      <c r="V31" s="479" t="s">
        <v>105</v>
      </c>
      <c r="W31" s="109"/>
      <c r="X31" s="467" t="str">
        <f>IF(X24="","",IF(X24=U21,U27,IF(X24=U27,U21)))</f>
        <v/>
      </c>
      <c r="Y31" s="454" t="str">
        <f>IF(X31="","",VLOOKUP(X31,liste!$A$9:$I$145,2,FALSE))</f>
        <v/>
      </c>
      <c r="Z31" s="89"/>
      <c r="AA31" s="85"/>
      <c r="AB31" s="837" t="str">
        <f>IF(AA30="","",VLOOKUP(AA30,liste!$A$9:$I$145,4)&amp;"-"&amp;(VLOOKUP(AA30,liste!$A$9:$I$145,3)))</f>
        <v/>
      </c>
      <c r="AC31" s="837"/>
      <c r="AD31" s="99"/>
    </row>
    <row r="32" spans="1:38" ht="24.95" customHeight="1" x14ac:dyDescent="0.2">
      <c r="A32" s="471" t="s">
        <v>244</v>
      </c>
      <c r="B32" s="467" t="str">
        <f>IF(B30="","",IF(B30=D29,D31,IF(B30=D31,D29)))</f>
        <v/>
      </c>
      <c r="C32" s="454" t="str">
        <f>IF(B32="","",VLOOKUP(B32,liste!$A$9:$I$145,2,FALSE))</f>
        <v/>
      </c>
      <c r="D32" s="104"/>
      <c r="E32" s="105"/>
      <c r="F32" s="83"/>
      <c r="G32" s="83"/>
      <c r="H32" s="478" t="s">
        <v>124</v>
      </c>
      <c r="I32" s="83"/>
      <c r="J32" s="91"/>
      <c r="K32" s="101"/>
      <c r="L32" s="83"/>
      <c r="M32" s="83"/>
      <c r="N32" s="83"/>
      <c r="O32" s="83"/>
      <c r="P32" s="83"/>
      <c r="Q32" s="83"/>
      <c r="R32" s="83"/>
      <c r="S32" s="83"/>
      <c r="T32" s="110"/>
      <c r="U32" s="91"/>
      <c r="V32" s="478" t="s">
        <v>129</v>
      </c>
      <c r="W32" s="83"/>
      <c r="X32" s="83"/>
      <c r="Y32" s="83"/>
      <c r="Z32" s="109"/>
      <c r="AA32" s="467" t="str">
        <f>IF(AA30="","",IF(AA30=X29,X31,IF(AA30=X31,X29)))</f>
        <v/>
      </c>
      <c r="AB32" s="454" t="str">
        <f>IF(AA32="","",VLOOKUP(AA32,liste!$A$9:$I$145,2,FALSE))</f>
        <v/>
      </c>
      <c r="AC32" s="88"/>
      <c r="AD32" s="477" t="s">
        <v>245</v>
      </c>
    </row>
    <row r="33" spans="1:30" ht="24.95" customHeight="1" x14ac:dyDescent="0.2">
      <c r="A33" s="118"/>
      <c r="C33" s="204" t="str">
        <f>IF(B32="","",VLOOKUP(B32,liste!$A$9:$I$145,4)&amp;"-"&amp;(VLOOKUP(B32,liste!$A$9:$I$145,3)))</f>
        <v/>
      </c>
      <c r="D33" s="83"/>
      <c r="E33" s="478" t="s">
        <v>126</v>
      </c>
      <c r="F33" s="83"/>
      <c r="G33" s="467" t="str">
        <f>IF(G11="","",IF(G11=J10,J12,IF(G11=J12,J10)))</f>
        <v/>
      </c>
      <c r="H33" s="454" t="str">
        <f>IF(G33="","",VLOOKUP(G33,liste!$A$9:$I$145,2,FALSE))</f>
        <v/>
      </c>
      <c r="I33" s="88"/>
      <c r="J33" s="104"/>
      <c r="K33" s="105"/>
      <c r="L33" s="112" t="s">
        <v>106</v>
      </c>
      <c r="M33" s="83"/>
      <c r="N33" s="83"/>
      <c r="O33" s="83"/>
      <c r="P33" s="83"/>
      <c r="Q33" s="83"/>
      <c r="R33" s="83"/>
      <c r="S33" s="482" t="s">
        <v>107</v>
      </c>
      <c r="T33" s="109"/>
      <c r="U33" s="467" t="str">
        <f>IF(U11="","",IF(U11=R10,R12,IF(U11=R12,R10)))</f>
        <v/>
      </c>
      <c r="V33" s="454" t="str">
        <f>IF(U33="","",VLOOKUP(U33,liste!$A$9:$I$145,2,FALSE))</f>
        <v/>
      </c>
      <c r="W33" s="88"/>
      <c r="X33" s="85"/>
      <c r="Y33" s="478" t="s">
        <v>130</v>
      </c>
      <c r="Z33" s="83"/>
      <c r="AA33" s="83"/>
      <c r="AB33" s="836" t="str">
        <f>IF(AA32="","",VLOOKUP(AA32,liste!$A$9:$I$145,4)&amp;"-"&amp;(VLOOKUP(AA32,liste!$A$9:$I$145,3)))</f>
        <v/>
      </c>
      <c r="AC33" s="836"/>
      <c r="AD33" s="99"/>
    </row>
    <row r="34" spans="1:30" ht="24.95" customHeight="1" x14ac:dyDescent="0.2">
      <c r="A34" s="118"/>
      <c r="D34" s="513"/>
      <c r="E34" s="454" t="str">
        <f>IF(D34="","",VLOOKUP(D34,liste!$A$9:$I$145,2,FALSE))</f>
        <v/>
      </c>
      <c r="F34" s="88"/>
      <c r="G34" s="92" t="s">
        <v>108</v>
      </c>
      <c r="H34" s="462" t="str">
        <f>IF(TF="n","","T."&amp;Rens!C31)</f>
        <v/>
      </c>
      <c r="I34" s="83"/>
      <c r="K34" s="483"/>
      <c r="L34" s="83"/>
      <c r="M34" s="83"/>
      <c r="N34" s="83"/>
      <c r="O34" s="83"/>
      <c r="P34" s="83"/>
      <c r="Q34" s="83"/>
      <c r="R34" s="83"/>
      <c r="S34" s="484"/>
      <c r="T34" s="485"/>
      <c r="U34" s="486" t="s">
        <v>109</v>
      </c>
      <c r="V34" s="487" t="str">
        <f>IF(TF="n","","T."&amp;Rens!C36)</f>
        <v/>
      </c>
      <c r="W34" s="488"/>
      <c r="X34" s="513"/>
      <c r="Y34" s="454" t="str">
        <f>IF(X34="","",VLOOKUP(X34,liste!$A$9:$I$145,2,FALSE))</f>
        <v/>
      </c>
      <c r="Z34" s="88"/>
      <c r="AA34" s="85"/>
      <c r="AB34" s="84"/>
      <c r="AC34" s="83"/>
      <c r="AD34" s="99"/>
    </row>
    <row r="35" spans="1:30" ht="24.95" customHeight="1" x14ac:dyDescent="0.2">
      <c r="A35" s="118"/>
      <c r="D35" s="87"/>
      <c r="E35" s="98"/>
      <c r="F35" s="98"/>
      <c r="G35" s="460" t="str">
        <f>IF(G17="","",IF(G17=J16,J18,IF(G17=J18,J16)))</f>
        <v/>
      </c>
      <c r="H35" s="470" t="str">
        <f>IF(G35="","",VLOOKUP(G35,liste!$A$9:$I$145,2,FALSE))</f>
        <v/>
      </c>
      <c r="I35" s="88"/>
      <c r="J35" s="104"/>
      <c r="K35" s="105"/>
      <c r="L35" s="112" t="s">
        <v>110</v>
      </c>
      <c r="M35" s="83"/>
      <c r="N35" s="83"/>
      <c r="O35" s="83"/>
      <c r="P35" s="83"/>
      <c r="Q35" s="83"/>
      <c r="R35" s="83"/>
      <c r="S35" s="482" t="s">
        <v>111</v>
      </c>
      <c r="T35" s="109"/>
      <c r="U35" s="467" t="str">
        <f>IF(U17="","",IF(U17=R16,R18,IF(U17=R18,R16)))</f>
        <v/>
      </c>
      <c r="V35" s="454" t="str">
        <f>IF(U35="","",VLOOKUP(U35,liste!$A$9:$I$145,2,FALSE))</f>
        <v/>
      </c>
      <c r="W35" s="89"/>
      <c r="X35" s="85"/>
      <c r="Y35" s="98"/>
      <c r="Z35" s="111"/>
      <c r="AA35" s="91"/>
      <c r="AB35" s="91"/>
      <c r="AC35" s="83"/>
      <c r="AD35" s="99"/>
    </row>
    <row r="36" spans="1:30" ht="24.95" customHeight="1" x14ac:dyDescent="0.2">
      <c r="A36" s="471" t="s">
        <v>246</v>
      </c>
      <c r="B36" s="513"/>
      <c r="C36" s="454" t="str">
        <f>IF(B36="","",VLOOKUP(B36,liste!$A$9:$I$145,2,FALSE))</f>
        <v/>
      </c>
      <c r="D36" s="465"/>
      <c r="E36" s="462" t="str">
        <f>IF(TF="n","","T."&amp;Rens!C38)</f>
        <v/>
      </c>
      <c r="F36" s="91"/>
      <c r="G36" s="91"/>
      <c r="H36" s="91"/>
      <c r="I36" s="91"/>
      <c r="J36" s="91"/>
      <c r="K36" s="101"/>
      <c r="L36" s="112"/>
      <c r="M36" s="83"/>
      <c r="N36" s="83"/>
      <c r="O36" s="83"/>
      <c r="P36" s="83"/>
      <c r="Q36" s="83"/>
      <c r="R36" s="83"/>
      <c r="S36" s="482"/>
      <c r="T36" s="110"/>
      <c r="U36" s="486"/>
      <c r="V36" s="98"/>
      <c r="W36" s="91"/>
      <c r="X36" s="91"/>
      <c r="Y36" s="91"/>
      <c r="Z36" s="473" t="str">
        <f>IF(TF="n","","T."&amp;Rens!G38)</f>
        <v/>
      </c>
      <c r="AA36" s="513"/>
      <c r="AB36" s="454" t="str">
        <f>IF(AA36="","",VLOOKUP(AA36,liste!$A$9:$I$145,2,FALSE))</f>
        <v/>
      </c>
      <c r="AC36" s="88"/>
      <c r="AD36" s="477" t="s">
        <v>247</v>
      </c>
    </row>
    <row r="37" spans="1:30" ht="24.95" customHeight="1" x14ac:dyDescent="0.2">
      <c r="A37" s="118"/>
      <c r="C37" s="438" t="str">
        <f>IF(B36="","",VLOOKUP(B36,liste!$A$9:$I$145,4)&amp;"-"&amp;(VLOOKUP(B36,liste!$A$9:$I$145,3)))</f>
        <v/>
      </c>
      <c r="D37" s="92"/>
      <c r="E37" s="91"/>
      <c r="F37" s="91"/>
      <c r="G37" s="467" t="str">
        <f>IF(G21="","",IF(G21=J20,J22,IF(G21=J22,J20)))</f>
        <v/>
      </c>
      <c r="H37" s="454" t="str">
        <f>IF(G37="","",VLOOKUP(G37,liste!$A$9:$I$145,2,FALSE))</f>
        <v/>
      </c>
      <c r="I37" s="88"/>
      <c r="J37" s="104"/>
      <c r="K37" s="105"/>
      <c r="L37" s="112" t="s">
        <v>112</v>
      </c>
      <c r="M37" s="83"/>
      <c r="N37" s="83"/>
      <c r="O37" s="83"/>
      <c r="P37" s="83"/>
      <c r="Q37" s="83"/>
      <c r="R37" s="83"/>
      <c r="S37" s="482" t="s">
        <v>113</v>
      </c>
      <c r="T37" s="113"/>
      <c r="U37" s="467" t="str">
        <f>IF(U21="","",IF(U21=R20,R22,IF(U21=R22,R20)))</f>
        <v/>
      </c>
      <c r="V37" s="454" t="str">
        <f>IF(U37="","",VLOOKUP(U37,liste!$A$9:$I$145,2,FALSE))</f>
        <v/>
      </c>
      <c r="W37" s="88"/>
      <c r="X37" s="85"/>
      <c r="Y37" s="83"/>
      <c r="Z37" s="96"/>
      <c r="AA37" s="91"/>
      <c r="AB37" s="837" t="str">
        <f>IF(AA36="","",VLOOKUP(AA36,liste!$A$9:$I$145,4)&amp;"-"&amp;(VLOOKUP(AA36,liste!$A$9:$I$145,3)))</f>
        <v/>
      </c>
      <c r="AC37" s="837"/>
      <c r="AD37" s="99"/>
    </row>
    <row r="38" spans="1:30" ht="24.95" customHeight="1" x14ac:dyDescent="0.2">
      <c r="A38" s="118"/>
      <c r="D38" s="514"/>
      <c r="E38" s="454" t="str">
        <f>IF(D38="","",VLOOKUP(D38,liste!$A$9:$I$145,2,FALSE))</f>
        <v/>
      </c>
      <c r="F38" s="88"/>
      <c r="G38" s="87" t="s">
        <v>114</v>
      </c>
      <c r="H38" s="462" t="str">
        <f>IF(TF="n","","T."&amp;Rens!C32)</f>
        <v/>
      </c>
      <c r="I38" s="98"/>
      <c r="J38" s="102"/>
      <c r="K38" s="480"/>
      <c r="L38" s="83"/>
      <c r="M38" s="83"/>
      <c r="N38" s="83"/>
      <c r="O38" s="83"/>
      <c r="P38" s="83"/>
      <c r="Q38" s="83"/>
      <c r="R38" s="83"/>
      <c r="S38" s="484"/>
      <c r="T38" s="485"/>
      <c r="U38" s="486" t="s">
        <v>115</v>
      </c>
      <c r="V38" s="487" t="str">
        <f>IF(TF="n","","T."&amp;Rens!G32)</f>
        <v/>
      </c>
      <c r="W38" s="488"/>
      <c r="X38" s="513"/>
      <c r="Y38" s="454" t="str">
        <f>IF(X38="","",VLOOKUP(X38,liste!$A$9:$I$145,2,FALSE))</f>
        <v/>
      </c>
      <c r="Z38" s="89"/>
      <c r="AA38" s="95"/>
      <c r="AB38" s="97"/>
      <c r="AC38" s="83"/>
      <c r="AD38" s="99"/>
    </row>
    <row r="39" spans="1:30" ht="24.95" customHeight="1" thickBot="1" x14ac:dyDescent="0.25">
      <c r="A39" s="471" t="s">
        <v>248</v>
      </c>
      <c r="B39" s="467" t="str">
        <f>IF(B36="","",IF(B36=D34,D38,IF(B36=D38,D34)))</f>
        <v/>
      </c>
      <c r="C39" s="454" t="str">
        <f>IF(B39="","",VLOOKUP(B39,liste!$A$9:$I$145,2,FALSE))</f>
        <v/>
      </c>
      <c r="D39" s="104"/>
      <c r="E39" s="105"/>
      <c r="F39" s="83"/>
      <c r="G39" s="460" t="str">
        <f>IF(G27="","",IF(G27=J26,J28,IF(G27=J28,J26)))</f>
        <v/>
      </c>
      <c r="H39" s="454" t="str">
        <f>IF(G39="","",VLOOKUP(G39,liste!$A$9:$I$145,2,FALSE))</f>
        <v/>
      </c>
      <c r="I39" s="88"/>
      <c r="J39" s="104"/>
      <c r="K39" s="105"/>
      <c r="L39" s="112" t="s">
        <v>116</v>
      </c>
      <c r="M39" s="83"/>
      <c r="N39" s="83"/>
      <c r="O39" s="83"/>
      <c r="P39" s="83"/>
      <c r="Q39" s="83"/>
      <c r="R39" s="83"/>
      <c r="S39" s="482" t="s">
        <v>117</v>
      </c>
      <c r="T39" s="113"/>
      <c r="U39" s="467" t="str">
        <f>IF(U27="","",IF(U27=R26,R28,IF(U27=R28,R26)))</f>
        <v/>
      </c>
      <c r="V39" s="454" t="str">
        <f>IF(U39="","",VLOOKUP(U39,liste!$A$9:$I$145,2,FALSE))</f>
        <v/>
      </c>
      <c r="W39" s="89"/>
      <c r="X39" s="85"/>
      <c r="Z39" s="109"/>
      <c r="AA39" s="467" t="str">
        <f>IF(AA36="","",IF(AA36=X34,X38,IF(AA36=X38,X34)))</f>
        <v/>
      </c>
      <c r="AB39" s="454" t="str">
        <f>IF(AA39="","",VLOOKUP(AA39,liste!$A$9:$I$145,2,FALSE))</f>
        <v/>
      </c>
      <c r="AC39" s="88"/>
      <c r="AD39" s="471" t="s">
        <v>249</v>
      </c>
    </row>
    <row r="40" spans="1:30" ht="24.95" customHeight="1" thickTop="1" thickBot="1" x14ac:dyDescent="0.25">
      <c r="A40" s="118"/>
      <c r="B40" s="83"/>
      <c r="C40" s="204" t="str">
        <f>IF(B39="","",VLOOKUP(B39,liste!$A$9:$I$145,4)&amp;"-"&amp;(VLOOKUP(B39,liste!$A$9:$I$145,3)))</f>
        <v/>
      </c>
      <c r="D40" s="83"/>
      <c r="E40" s="478" t="s">
        <v>127</v>
      </c>
      <c r="F40" s="83"/>
      <c r="G40" s="114"/>
      <c r="H40" s="115"/>
      <c r="L40" s="432"/>
      <c r="M40" s="432"/>
      <c r="N40" s="432"/>
      <c r="O40" s="432"/>
      <c r="P40" s="489">
        <v>3</v>
      </c>
      <c r="Q40" s="490">
        <v>4</v>
      </c>
      <c r="R40" s="432"/>
      <c r="S40" s="432"/>
      <c r="T40" s="432"/>
      <c r="W40" s="116"/>
      <c r="X40" s="114"/>
      <c r="Y40" s="478" t="s">
        <v>131</v>
      </c>
      <c r="AB40" s="117" t="str">
        <f>IF(AA39="","",VLOOKUP(AA39,liste!$A$9:$I$145,4)&amp;"-"&amp;(VLOOKUP(AA39,liste!$A$9:$I$145,3)))</f>
        <v/>
      </c>
      <c r="AC40" s="117"/>
      <c r="AD40" s="118"/>
    </row>
    <row r="41" spans="1:30" ht="24.95" customHeight="1" thickTop="1" thickBot="1" x14ac:dyDescent="0.25">
      <c r="A41" s="118"/>
      <c r="B41" s="83"/>
      <c r="C41" s="83"/>
      <c r="D41" s="467" t="str">
        <f>IF(D34="","",IF(D34=G33,G35,IF(D34=G35,G33)))</f>
        <v/>
      </c>
      <c r="E41" s="454" t="str">
        <f>IF(D41="","",VLOOKUP(D41,liste!$A$9:$I$145,2,FALSE))</f>
        <v/>
      </c>
      <c r="F41" s="88"/>
      <c r="G41" s="119"/>
      <c r="H41" s="120"/>
      <c r="I41" s="491" t="s">
        <v>118</v>
      </c>
      <c r="L41" s="492" t="s">
        <v>89</v>
      </c>
      <c r="M41" s="493"/>
      <c r="N41" s="494" t="s">
        <v>33</v>
      </c>
      <c r="O41" s="495" t="s">
        <v>35</v>
      </c>
      <c r="P41" s="496"/>
      <c r="Q41" s="497"/>
      <c r="R41" s="433"/>
      <c r="S41" s="432"/>
      <c r="T41" s="432"/>
      <c r="V41" s="498" t="s">
        <v>119</v>
      </c>
      <c r="W41" s="121"/>
      <c r="X41" s="467" t="str">
        <f>IF(X34="","",IF(X34=U33,U35,IF(X34=U35,U33)))</f>
        <v/>
      </c>
      <c r="Y41" s="454" t="str">
        <f>IF(X41="","",VLOOKUP(X41,liste!$A$9:$I$145,2,FALSE))</f>
        <v/>
      </c>
      <c r="Z41" s="88"/>
      <c r="AA41" s="85"/>
      <c r="AB41" s="843"/>
      <c r="AC41" s="843"/>
      <c r="AD41" s="118"/>
    </row>
    <row r="42" spans="1:30" ht="24.95" customHeight="1" thickTop="1" thickBot="1" x14ac:dyDescent="0.25">
      <c r="A42" s="471" t="s">
        <v>250</v>
      </c>
      <c r="B42" s="513"/>
      <c r="C42" s="454" t="str">
        <f>IF(B42="","",VLOOKUP(B42,liste!$A$9:$I$145,2,FALSE))</f>
        <v/>
      </c>
      <c r="D42" s="92"/>
      <c r="E42" s="462" t="s">
        <v>211</v>
      </c>
      <c r="F42" s="83"/>
      <c r="G42" s="122"/>
      <c r="H42" s="499"/>
      <c r="L42" s="500" t="s">
        <v>34</v>
      </c>
      <c r="M42" s="501"/>
      <c r="N42" s="502">
        <v>1</v>
      </c>
      <c r="O42" s="503">
        <v>2</v>
      </c>
      <c r="P42" s="503">
        <v>3</v>
      </c>
      <c r="Q42" s="504">
        <v>4</v>
      </c>
      <c r="R42" s="443"/>
      <c r="S42" s="432"/>
      <c r="T42" s="432"/>
      <c r="W42" s="505"/>
      <c r="X42" s="98"/>
      <c r="Y42" s="98"/>
      <c r="Z42" s="459" t="str">
        <f>IF(TF="n","","T."&amp;Rens!G39)</f>
        <v/>
      </c>
      <c r="AA42" s="513"/>
      <c r="AB42" s="454" t="str">
        <f>IF(AA42="","",VLOOKUP(AA42,liste!$A$9:$I$145,2,FALSE))</f>
        <v/>
      </c>
      <c r="AC42" s="88"/>
      <c r="AD42" s="471" t="s">
        <v>251</v>
      </c>
    </row>
    <row r="43" spans="1:30" ht="24.95" customHeight="1" thickBot="1" x14ac:dyDescent="0.25">
      <c r="A43" s="118"/>
      <c r="B43" s="83"/>
      <c r="C43" s="438" t="str">
        <f>IF(B42="","",VLOOKUP(B42,liste!$A$9:$I$145,4)&amp;"-"&amp;(VLOOKUP(B42,liste!$A$9:$I$145,3)))</f>
        <v/>
      </c>
      <c r="D43" s="460" t="str">
        <f>IF(D38="","",IF(D38=G37,G39,IF(D38=G39,G37)))</f>
        <v/>
      </c>
      <c r="E43" s="454" t="str">
        <f>IF(D43="","",VLOOKUP(D43,liste!$A$9:$I$145,2,FALSE))</f>
        <v/>
      </c>
      <c r="F43" s="88"/>
      <c r="G43" s="119"/>
      <c r="H43" s="120"/>
      <c r="I43" s="491" t="s">
        <v>120</v>
      </c>
      <c r="L43" s="500" t="s">
        <v>59</v>
      </c>
      <c r="M43" s="501"/>
      <c r="N43" s="502">
        <v>7</v>
      </c>
      <c r="O43" s="503">
        <v>8</v>
      </c>
      <c r="P43" s="503">
        <v>5</v>
      </c>
      <c r="Q43" s="504">
        <v>6</v>
      </c>
      <c r="R43" s="443"/>
      <c r="S43" s="432"/>
      <c r="T43" s="432"/>
      <c r="V43" s="498" t="s">
        <v>121</v>
      </c>
      <c r="W43" s="121"/>
      <c r="X43" s="467" t="str">
        <f>IF(X38="","",IF(X38=U37,U39,IF(X38=U39,U37)))</f>
        <v/>
      </c>
      <c r="Y43" s="454" t="str">
        <f>IF(X43="","",VLOOKUP(X43,liste!$A$9:$I$145,2,FALSE))</f>
        <v/>
      </c>
      <c r="Z43" s="89"/>
      <c r="AA43" s="95"/>
      <c r="AB43" s="837" t="str">
        <f>IF(AA42="","",VLOOKUP(AA42,liste!$A$9:$I$145,4)&amp;"-"&amp;(VLOOKUP(AA42,liste!$A$9:$I$145,3)))</f>
        <v/>
      </c>
      <c r="AC43" s="837"/>
      <c r="AD43" s="118"/>
    </row>
    <row r="44" spans="1:30" ht="24.95" customHeight="1" thickBot="1" x14ac:dyDescent="0.25">
      <c r="A44" s="471" t="s">
        <v>252</v>
      </c>
      <c r="B44" s="467" t="str">
        <f>IF(B42="","",IF(B42=D41,D43,IF(B42=D43,D41)))</f>
        <v/>
      </c>
      <c r="C44" s="454" t="str">
        <f>IF(B44="","",VLOOKUP(B44,liste!$A$9:$I$145,2,FALSE))</f>
        <v/>
      </c>
      <c r="D44" s="104"/>
      <c r="E44" s="105"/>
      <c r="F44" s="83"/>
      <c r="L44" s="500" t="s">
        <v>60</v>
      </c>
      <c r="M44" s="501"/>
      <c r="N44" s="502">
        <v>11</v>
      </c>
      <c r="O44" s="503">
        <v>12</v>
      </c>
      <c r="P44" s="503">
        <v>9</v>
      </c>
      <c r="Q44" s="504">
        <v>10</v>
      </c>
      <c r="R44" s="443"/>
      <c r="S44" s="841" t="s">
        <v>122</v>
      </c>
      <c r="T44" s="842"/>
      <c r="U44" s="326"/>
      <c r="X44" s="83"/>
      <c r="Y44" s="83"/>
      <c r="Z44" s="109"/>
      <c r="AA44" s="467" t="str">
        <f>IF(AA42="","",IF(AA42=X41,X43,IF(AA42=X43,X41)))</f>
        <v/>
      </c>
      <c r="AB44" s="454" t="str">
        <f>IF(AA44="","",VLOOKUP(AA44,liste!$A$9:$I$145,2,FALSE))</f>
        <v/>
      </c>
      <c r="AC44" s="88"/>
      <c r="AD44" s="471" t="s">
        <v>253</v>
      </c>
    </row>
    <row r="45" spans="1:30" ht="24.95" customHeight="1" thickBot="1" x14ac:dyDescent="0.25">
      <c r="C45" s="204" t="str">
        <f>IF(B44="","",VLOOKUP(B44,liste!$A$9:$I$145,4)&amp;"-"&amp;(VLOOKUP(B44,liste!$A$9:$I$145,3)))</f>
        <v/>
      </c>
      <c r="L45" s="506" t="s">
        <v>62</v>
      </c>
      <c r="M45" s="507"/>
      <c r="N45" s="508">
        <v>13</v>
      </c>
      <c r="O45" s="509">
        <v>14</v>
      </c>
      <c r="P45" s="509">
        <v>15</v>
      </c>
      <c r="Q45" s="510">
        <v>16</v>
      </c>
      <c r="R45" s="443"/>
      <c r="S45" s="434"/>
      <c r="T45" s="511" t="s">
        <v>99</v>
      </c>
      <c r="U45" s="123"/>
      <c r="AB45" s="836" t="str">
        <f>IF(AA44="","",VLOOKUP(AA44,liste!$A$9:$I$145,4)&amp;"-"&amp;(VLOOKUP(AA44,liste!$A$9:$I$145,3)))</f>
        <v/>
      </c>
      <c r="AC45" s="836"/>
    </row>
    <row r="46" spans="1:30" ht="13.5" thickTop="1" x14ac:dyDescent="0.2"/>
  </sheetData>
  <sheetProtection sheet="1" objects="1" scenarios="1" selectLockedCells="1"/>
  <mergeCells count="49">
    <mergeCell ref="A3:N3"/>
    <mergeCell ref="O4:AD4"/>
    <mergeCell ref="A4:N4"/>
    <mergeCell ref="O3:AD3"/>
    <mergeCell ref="AG1:AL1"/>
    <mergeCell ref="A1:N1"/>
    <mergeCell ref="O1:AD1"/>
    <mergeCell ref="A2:N2"/>
    <mergeCell ref="O2:AD2"/>
    <mergeCell ref="Y15:Z15"/>
    <mergeCell ref="S8:T8"/>
    <mergeCell ref="D8:F8"/>
    <mergeCell ref="G8:I8"/>
    <mergeCell ref="J8:L8"/>
    <mergeCell ref="S13:T13"/>
    <mergeCell ref="K13:L13"/>
    <mergeCell ref="N14:Q14"/>
    <mergeCell ref="V18:W18"/>
    <mergeCell ref="AB20:AC20"/>
    <mergeCell ref="H18:I18"/>
    <mergeCell ref="H22:I22"/>
    <mergeCell ref="S44:T44"/>
    <mergeCell ref="AB41:AC41"/>
    <mergeCell ref="AB43:AC43"/>
    <mergeCell ref="V22:W22"/>
    <mergeCell ref="S19:T19"/>
    <mergeCell ref="S23:T23"/>
    <mergeCell ref="V28:W28"/>
    <mergeCell ref="K23:L23"/>
    <mergeCell ref="N18:Q18"/>
    <mergeCell ref="K19:L19"/>
    <mergeCell ref="AB45:AC45"/>
    <mergeCell ref="AB27:AC27"/>
    <mergeCell ref="AB31:AC31"/>
    <mergeCell ref="AB33:AC33"/>
    <mergeCell ref="AB37:AC37"/>
    <mergeCell ref="Y7:Z7"/>
    <mergeCell ref="V7:W7"/>
    <mergeCell ref="S7:T7"/>
    <mergeCell ref="N12:P12"/>
    <mergeCell ref="M7:Q7"/>
    <mergeCell ref="V8:W8"/>
    <mergeCell ref="Y8:Z8"/>
    <mergeCell ref="M8:Q8"/>
    <mergeCell ref="N16:P16"/>
    <mergeCell ref="N24:Q24"/>
    <mergeCell ref="N28:Q28"/>
    <mergeCell ref="N22:P22"/>
    <mergeCell ref="N26:P26"/>
  </mergeCells>
  <phoneticPr fontId="0" type="noConversion"/>
  <conditionalFormatting sqref="A1:AD1048576">
    <cfRule type="cellIs" dxfId="1" priority="1" operator="equal">
      <formula>0</formula>
    </cfRule>
  </conditionalFormatting>
  <printOptions horizontalCentered="1" verticalCentered="1"/>
  <pageMargins left="0.11811023622047245" right="0.47244094488188981" top="0" bottom="0.19" header="0.23622047244094491" footer="0"/>
  <pageSetup paperSize="9" scale="50" orientation="landscape" r:id="rId1"/>
  <headerFooter alignWithMargins="0">
    <oddHeader>&amp;R&amp;F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barrages">
                <anchor moveWithCells="1">
                  <from>
                    <xdr:col>13</xdr:col>
                    <xdr:colOff>0</xdr:colOff>
                    <xdr:row>4</xdr:row>
                    <xdr:rowOff>114300</xdr:rowOff>
                  </from>
                  <to>
                    <xdr:col>16</xdr:col>
                    <xdr:colOff>276225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Button 7">
              <controlPr defaultSize="0" print="0" autoFill="0" autoPict="0" macro="[0]!quart_ko">
                <anchor moveWithCells="1" sizeWithCells="1">
                  <from>
                    <xdr:col>9</xdr:col>
                    <xdr:colOff>66675</xdr:colOff>
                    <xdr:row>5</xdr:row>
                    <xdr:rowOff>0</xdr:rowOff>
                  </from>
                  <to>
                    <xdr:col>11</xdr:col>
                    <xdr:colOff>590550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Button 19">
              <controlPr defaultSize="0" print="0" autoFill="0" autoPict="0" macro="[0]!quart_gagnant">
                <anchor moveWithCells="1" sizeWithCells="1">
                  <from>
                    <xdr:col>18</xdr:col>
                    <xdr:colOff>66675</xdr:colOff>
                    <xdr:row>5</xdr:row>
                    <xdr:rowOff>28575</xdr:rowOff>
                  </from>
                  <to>
                    <xdr:col>19</xdr:col>
                    <xdr:colOff>704850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Button 22">
              <controlPr defaultSize="0" print="0" autoFill="0" autoPict="0" macro="[0]!demi_ko">
                <anchor moveWithCells="1" sizeWithCells="1">
                  <from>
                    <xdr:col>6</xdr:col>
                    <xdr:colOff>104775</xdr:colOff>
                    <xdr:row>5</xdr:row>
                    <xdr:rowOff>9525</xdr:rowOff>
                  </from>
                  <to>
                    <xdr:col>8</xdr:col>
                    <xdr:colOff>533400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Button 29">
              <controlPr defaultSize="0" print="0" autoFill="0" autoPict="0" macro="[0]!demi_gagnant">
                <anchor moveWithCells="1">
                  <from>
                    <xdr:col>21</xdr:col>
                    <xdr:colOff>0</xdr:colOff>
                    <xdr:row>4</xdr:row>
                    <xdr:rowOff>247650</xdr:rowOff>
                  </from>
                  <to>
                    <xdr:col>22</xdr:col>
                    <xdr:colOff>695325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Button 30">
              <controlPr defaultSize="0" print="0" autoFill="0" autoPict="0" macro="[0]!finale_KO">
                <anchor moveWithCells="1" sizeWithCells="1">
                  <from>
                    <xdr:col>3</xdr:col>
                    <xdr:colOff>238125</xdr:colOff>
                    <xdr:row>5</xdr:row>
                    <xdr:rowOff>9525</xdr:rowOff>
                  </from>
                  <to>
                    <xdr:col>5</xdr:col>
                    <xdr:colOff>600075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Button 31">
              <controlPr defaultSize="0" print="0" autoFill="0" autoPict="0" macro="[0]!Finale">
                <anchor moveWithCells="1" sizeWithCells="1">
                  <from>
                    <xdr:col>24</xdr:col>
                    <xdr:colOff>9525</xdr:colOff>
                    <xdr:row>5</xdr:row>
                    <xdr:rowOff>9525</xdr:rowOff>
                  </from>
                  <to>
                    <xdr:col>25</xdr:col>
                    <xdr:colOff>476250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J28"/>
  <sheetViews>
    <sheetView view="pageBreakPreview" zoomScale="80" zoomScaleNormal="100" zoomScaleSheetLayoutView="80" workbookViewId="0">
      <selection sqref="A1:J5"/>
    </sheetView>
  </sheetViews>
  <sheetFormatPr baseColWidth="10" defaultColWidth="11.42578125" defaultRowHeight="12.75" x14ac:dyDescent="0.2"/>
  <cols>
    <col min="1" max="1" width="4.7109375" style="124" customWidth="1"/>
    <col min="2" max="2" width="15.7109375" style="124" bestFit="1" customWidth="1"/>
    <col min="3" max="3" width="0.140625" style="124" hidden="1" customWidth="1"/>
    <col min="4" max="4" width="25.7109375" style="124" customWidth="1"/>
    <col min="5" max="5" width="13.42578125" style="124" bestFit="1" customWidth="1"/>
    <col min="6" max="6" width="11.42578125" style="124" bestFit="1" customWidth="1"/>
    <col min="7" max="7" width="40.7109375" style="124" customWidth="1"/>
    <col min="8" max="8" width="7.85546875" style="124" customWidth="1"/>
    <col min="9" max="9" width="10.7109375" style="124" customWidth="1"/>
    <col min="10" max="10" width="9.5703125" style="124" customWidth="1"/>
    <col min="11" max="16384" width="11.42578125" style="124"/>
  </cols>
  <sheetData>
    <row r="1" spans="1:10" ht="21" x14ac:dyDescent="0.35">
      <c r="A1" s="860" t="s">
        <v>235</v>
      </c>
      <c r="B1" s="860"/>
      <c r="C1" s="860"/>
      <c r="D1" s="860"/>
      <c r="E1" s="861" t="str">
        <f>Rens!A1</f>
        <v>Circuit Décathlon</v>
      </c>
      <c r="F1" s="861"/>
      <c r="G1" s="861"/>
      <c r="H1" s="861"/>
      <c r="I1" s="861"/>
      <c r="J1" s="861"/>
    </row>
    <row r="2" spans="1:10" ht="21" x14ac:dyDescent="0.35">
      <c r="A2" s="860" t="s">
        <v>137</v>
      </c>
      <c r="B2" s="860"/>
      <c r="C2" s="860"/>
      <c r="D2" s="860"/>
      <c r="E2" s="861" t="str">
        <f>Rens!B3</f>
        <v>FEM</v>
      </c>
      <c r="F2" s="861"/>
      <c r="G2" s="861"/>
      <c r="H2" s="861"/>
      <c r="I2" s="861"/>
      <c r="J2" s="861"/>
    </row>
    <row r="3" spans="1:10" ht="20.25" customHeight="1" x14ac:dyDescent="0.35">
      <c r="A3" s="860" t="s">
        <v>155</v>
      </c>
      <c r="B3" s="860"/>
      <c r="C3" s="860"/>
      <c r="D3" s="860"/>
      <c r="E3" s="861">
        <f>Rens!E2</f>
        <v>1</v>
      </c>
      <c r="F3" s="861"/>
      <c r="G3" s="861"/>
      <c r="H3" s="861"/>
      <c r="I3" s="861"/>
      <c r="J3" s="861"/>
    </row>
    <row r="4" spans="1:10" ht="20.25" customHeight="1" x14ac:dyDescent="0.35">
      <c r="A4" s="860" t="s">
        <v>236</v>
      </c>
      <c r="B4" s="860"/>
      <c r="C4" s="860"/>
      <c r="D4" s="860"/>
      <c r="E4" s="862">
        <f>Rens!B4</f>
        <v>43421</v>
      </c>
      <c r="F4" s="862"/>
      <c r="G4" s="862"/>
      <c r="H4" s="862"/>
      <c r="I4" s="862"/>
      <c r="J4" s="862"/>
    </row>
    <row r="5" spans="1:10" ht="20.25" customHeight="1" x14ac:dyDescent="0.35">
      <c r="A5" s="860" t="s">
        <v>237</v>
      </c>
      <c r="B5" s="860"/>
      <c r="C5" s="860"/>
      <c r="D5" s="860"/>
      <c r="E5" s="861" t="str">
        <f>Rens!B2</f>
        <v>Parigné l'évêque</v>
      </c>
      <c r="F5" s="861"/>
      <c r="G5" s="861"/>
      <c r="H5" s="861"/>
      <c r="I5" s="861"/>
      <c r="J5" s="861"/>
    </row>
    <row r="6" spans="1:10" ht="13.5" thickBot="1" x14ac:dyDescent="0.25"/>
    <row r="7" spans="1:10" s="128" customFormat="1" ht="20.100000000000001" customHeight="1" x14ac:dyDescent="0.2">
      <c r="A7" s="125" t="s">
        <v>134</v>
      </c>
      <c r="B7" s="126" t="s">
        <v>135</v>
      </c>
      <c r="C7" s="127" t="s">
        <v>14</v>
      </c>
      <c r="D7" s="126" t="s">
        <v>136</v>
      </c>
      <c r="E7" s="126" t="s">
        <v>4</v>
      </c>
      <c r="F7" s="126" t="s">
        <v>137</v>
      </c>
      <c r="G7" s="126" t="s">
        <v>138</v>
      </c>
      <c r="H7" s="126" t="s">
        <v>195</v>
      </c>
      <c r="I7" s="858" t="s">
        <v>139</v>
      </c>
      <c r="J7" s="859"/>
    </row>
    <row r="8" spans="1:10" s="128" customFormat="1" ht="20.100000000000001" customHeight="1" x14ac:dyDescent="0.2">
      <c r="A8" s="129">
        <v>1</v>
      </c>
      <c r="B8" s="130" t="str">
        <f>IF(C8="","",VLOOKUP(C8,liste!$A$9:$H$145,7,FALSE))</f>
        <v/>
      </c>
      <c r="C8" s="131" t="str">
        <f>IF(Tableau!$AA$19="","",Tableau!$AA$19)</f>
        <v/>
      </c>
      <c r="D8" s="132" t="str">
        <f>IF(C8="","",VLOOKUP(C8,liste!$A$9:$H$145,2,FALSE))</f>
        <v/>
      </c>
      <c r="E8" s="133" t="str">
        <f>IF(C8="","",VLOOKUP(C8,liste!$A$9:$H$145,4,FALSE))</f>
        <v/>
      </c>
      <c r="F8" s="133" t="str">
        <f>IF(C8="","",VLOOKUP(C8,liste!$A$9:$H$145,5,FALSE))</f>
        <v/>
      </c>
      <c r="G8" s="132" t="str">
        <f>IF(C8="","",VLOOKUP(C8,liste!$A$9:$H$145,3,FALSE))</f>
        <v/>
      </c>
      <c r="H8" s="133" t="str">
        <f>IF(C8="","",VLOOKUP(C8,liste!$A$9:$H$145,6,FALSE))</f>
        <v/>
      </c>
      <c r="I8" s="441">
        <v>100</v>
      </c>
      <c r="J8" s="134" t="s">
        <v>98</v>
      </c>
    </row>
    <row r="9" spans="1:10" s="128" customFormat="1" ht="20.100000000000001" customHeight="1" x14ac:dyDescent="0.2">
      <c r="A9" s="129">
        <v>2</v>
      </c>
      <c r="B9" s="130" t="str">
        <f>IF(C9="","",VLOOKUP(C9,liste!$A$9:$H$145,7,FALSE))</f>
        <v/>
      </c>
      <c r="C9" s="131" t="str">
        <f>IF(Tableau!$AA$26="","",Tableau!$AA$26)</f>
        <v/>
      </c>
      <c r="D9" s="132" t="str">
        <f>IF(C9="","",VLOOKUP(C9,liste!$A$9:$H$145,2,FALSE))</f>
        <v/>
      </c>
      <c r="E9" s="133" t="str">
        <f>IF(C9="","",VLOOKUP(C9,liste!$A$9:$H$145,4,FALSE))</f>
        <v/>
      </c>
      <c r="F9" s="133" t="str">
        <f>IF(C9="","",VLOOKUP(C9,liste!$A$9:$H$145,5,FALSE))</f>
        <v/>
      </c>
      <c r="G9" s="132" t="str">
        <f>IF(C9="","",VLOOKUP(C9,liste!$A$9:$H$145,3,FALSE))</f>
        <v/>
      </c>
      <c r="H9" s="133" t="str">
        <f>IF(C9="","",VLOOKUP(C9,liste!$A$9:$H$145,6,FALSE))</f>
        <v/>
      </c>
      <c r="I9" s="441">
        <v>80</v>
      </c>
      <c r="J9" s="134" t="s">
        <v>98</v>
      </c>
    </row>
    <row r="10" spans="1:10" s="128" customFormat="1" ht="20.100000000000001" customHeight="1" x14ac:dyDescent="0.2">
      <c r="A10" s="129">
        <v>3</v>
      </c>
      <c r="B10" s="130" t="str">
        <f>IF(C10="","",VLOOKUP(C10,liste!$A$9:$H$145,7,FALSE))</f>
        <v/>
      </c>
      <c r="C10" s="131" t="str">
        <f>IF(Tableau!$AA$30="","",Tableau!$AA$30)</f>
        <v/>
      </c>
      <c r="D10" s="132" t="str">
        <f>IF(C10="","",VLOOKUP(C10,liste!$A$9:$H$145,2,FALSE))</f>
        <v/>
      </c>
      <c r="E10" s="133" t="str">
        <f>IF(C10="","",VLOOKUP(C10,liste!$A$9:$H$145,4,FALSE))</f>
        <v/>
      </c>
      <c r="F10" s="133" t="str">
        <f>IF(C10="","",VLOOKUP(C10,liste!$A$9:$H$145,5,FALSE))</f>
        <v/>
      </c>
      <c r="G10" s="132" t="str">
        <f>IF(C10="","",VLOOKUP(C10,liste!$A$9:$H$145,3,FALSE))</f>
        <v/>
      </c>
      <c r="H10" s="133" t="str">
        <f>IF(C10="","",VLOOKUP(C10,liste!$A$9:$H$145,6,FALSE))</f>
        <v/>
      </c>
      <c r="I10" s="441">
        <v>65</v>
      </c>
      <c r="J10" s="134" t="str">
        <f>$J$9</f>
        <v>E</v>
      </c>
    </row>
    <row r="11" spans="1:10" s="128" customFormat="1" ht="20.100000000000001" customHeight="1" x14ac:dyDescent="0.2">
      <c r="A11" s="129">
        <v>4</v>
      </c>
      <c r="B11" s="130" t="str">
        <f>IF(C11="","",VLOOKUP(C11,liste!$A$9:$H$145,7,FALSE))</f>
        <v/>
      </c>
      <c r="C11" s="131" t="str">
        <f>IF(Tableau!$AA$32="","",Tableau!$AA$32)</f>
        <v/>
      </c>
      <c r="D11" s="132" t="str">
        <f>IF(C11="","",VLOOKUP(C11,liste!$A$9:$H$145,2,FALSE))</f>
        <v/>
      </c>
      <c r="E11" s="133" t="str">
        <f>IF(C11="","",VLOOKUP(C11,liste!$A$9:$H$145,4,FALSE))</f>
        <v/>
      </c>
      <c r="F11" s="133" t="str">
        <f>IF(C11="","",VLOOKUP(C11,liste!$A$9:$H$145,5,FALSE))</f>
        <v/>
      </c>
      <c r="G11" s="132" t="str">
        <f>IF(C11="","",VLOOKUP(C11,liste!$A$9:$H$145,3,FALSE))</f>
        <v/>
      </c>
      <c r="H11" s="133" t="str">
        <f>IF(C11="","",VLOOKUP(C11,liste!$A$9:$H$145,6,FALSE))</f>
        <v/>
      </c>
      <c r="I11" s="441">
        <v>50</v>
      </c>
      <c r="J11" s="134" t="str">
        <f t="shared" ref="J11:J23" si="0">$J$9</f>
        <v>E</v>
      </c>
    </row>
    <row r="12" spans="1:10" s="128" customFormat="1" ht="20.100000000000001" customHeight="1" x14ac:dyDescent="0.2">
      <c r="A12" s="129">
        <v>5</v>
      </c>
      <c r="B12" s="130" t="str">
        <f>IF(C12="","",VLOOKUP(C12,liste!$A$9:$H$145,7,FALSE))</f>
        <v/>
      </c>
      <c r="C12" s="131" t="str">
        <f>IF(Tableau!$AA$36="","",Tableau!$AA$36)</f>
        <v/>
      </c>
      <c r="D12" s="132" t="str">
        <f>IF(C12="","",VLOOKUP(C12,liste!$A$9:$H$145,2,FALSE))</f>
        <v/>
      </c>
      <c r="E12" s="133" t="str">
        <f>IF(C12="","",VLOOKUP(C12,liste!$A$9:$H$145,4,FALSE))</f>
        <v/>
      </c>
      <c r="F12" s="133" t="str">
        <f>IF(C12="","",VLOOKUP(C12,liste!$A$9:$H$145,5,FALSE))</f>
        <v/>
      </c>
      <c r="G12" s="132" t="str">
        <f>IF(C12="","",VLOOKUP(C12,liste!$A$9:$H$145,3,FALSE))</f>
        <v/>
      </c>
      <c r="H12" s="133" t="str">
        <f>IF(C12="","",VLOOKUP(C12,liste!$A$9:$H$145,6,FALSE))</f>
        <v/>
      </c>
      <c r="I12" s="441">
        <v>40</v>
      </c>
      <c r="J12" s="134" t="str">
        <f t="shared" si="0"/>
        <v>E</v>
      </c>
    </row>
    <row r="13" spans="1:10" s="128" customFormat="1" ht="20.100000000000001" customHeight="1" x14ac:dyDescent="0.2">
      <c r="A13" s="129">
        <v>6</v>
      </c>
      <c r="B13" s="130" t="str">
        <f>IF(C13="","",VLOOKUP(C13,liste!$A$9:$H$145,7,FALSE))</f>
        <v/>
      </c>
      <c r="C13" s="131" t="str">
        <f>IF(Tableau!$AA$39="","",Tableau!$AA$39)</f>
        <v/>
      </c>
      <c r="D13" s="132" t="str">
        <f>IF(C13="","",VLOOKUP(C13,liste!$A$9:$H$145,2,FALSE))</f>
        <v/>
      </c>
      <c r="E13" s="133" t="str">
        <f>IF(C13="","",VLOOKUP(C13,liste!$A$9:$H$145,4,FALSE))</f>
        <v/>
      </c>
      <c r="F13" s="133" t="str">
        <f>IF(C13="","",VLOOKUP(C13,liste!$A$9:$H$145,5,FALSE))</f>
        <v/>
      </c>
      <c r="G13" s="132" t="str">
        <f>IF(C13="","",VLOOKUP(C13,liste!$A$9:$H$145,3,FALSE))</f>
        <v/>
      </c>
      <c r="H13" s="133" t="str">
        <f>IF(C13="","",VLOOKUP(C13,liste!$A$9:$H$145,6,FALSE))</f>
        <v/>
      </c>
      <c r="I13" s="441">
        <v>35</v>
      </c>
      <c r="J13" s="134" t="str">
        <f t="shared" si="0"/>
        <v>E</v>
      </c>
    </row>
    <row r="14" spans="1:10" s="128" customFormat="1" ht="20.100000000000001" customHeight="1" x14ac:dyDescent="0.2">
      <c r="A14" s="129">
        <v>7</v>
      </c>
      <c r="B14" s="130" t="str">
        <f>IF(C14="","",VLOOKUP(C14,liste!$A$9:$H$145,7,FALSE))</f>
        <v/>
      </c>
      <c r="C14" s="131" t="str">
        <f>IF(Tableau!$AA$42="","",Tableau!$AA$42)</f>
        <v/>
      </c>
      <c r="D14" s="132" t="str">
        <f>IF(C14="","",VLOOKUP(C14,liste!$A$9:$H$145,2,FALSE))</f>
        <v/>
      </c>
      <c r="E14" s="133" t="str">
        <f>IF(C14="","",VLOOKUP(C14,liste!$A$9:$H$145,4,FALSE))</f>
        <v/>
      </c>
      <c r="F14" s="133" t="str">
        <f>IF(C14="","",VLOOKUP(C14,liste!$A$9:$H$145,5,FALSE))</f>
        <v/>
      </c>
      <c r="G14" s="132" t="str">
        <f>IF(C14="","",VLOOKUP(C14,liste!$A$9:$H$145,3,FALSE))</f>
        <v/>
      </c>
      <c r="H14" s="133" t="str">
        <f>IF(C14="","",VLOOKUP(C14,liste!$A$9:$H$145,6,FALSE))</f>
        <v/>
      </c>
      <c r="I14" s="441">
        <v>30</v>
      </c>
      <c r="J14" s="134" t="str">
        <f t="shared" si="0"/>
        <v>E</v>
      </c>
    </row>
    <row r="15" spans="1:10" s="128" customFormat="1" ht="20.100000000000001" customHeight="1" x14ac:dyDescent="0.2">
      <c r="A15" s="129">
        <v>8</v>
      </c>
      <c r="B15" s="130" t="str">
        <f>IF(C15="","",VLOOKUP(C15,liste!$A$9:$H$145,7,FALSE))</f>
        <v/>
      </c>
      <c r="C15" s="131" t="str">
        <f>IF(Tableau!$AA$44="","",Tableau!$AA$44)</f>
        <v/>
      </c>
      <c r="D15" s="132" t="str">
        <f>IF(C15="","",VLOOKUP(C15,liste!$A$9:$H$145,2,FALSE))</f>
        <v/>
      </c>
      <c r="E15" s="133" t="str">
        <f>IF(C15="","",VLOOKUP(C15,liste!$A$9:$H$145,4,FALSE))</f>
        <v/>
      </c>
      <c r="F15" s="133" t="str">
        <f>IF(C15="","",VLOOKUP(C15,liste!$A$9:$H$145,5,FALSE))</f>
        <v/>
      </c>
      <c r="G15" s="132" t="str">
        <f>IF(C15="","",VLOOKUP(C15,liste!$A$9:$H$145,3,FALSE))</f>
        <v/>
      </c>
      <c r="H15" s="133" t="str">
        <f>IF(C15="","",VLOOKUP(C15,liste!$A$9:$H$145,6,FALSE))</f>
        <v/>
      </c>
      <c r="I15" s="441">
        <v>25</v>
      </c>
      <c r="J15" s="134" t="str">
        <f t="shared" si="0"/>
        <v>E</v>
      </c>
    </row>
    <row r="16" spans="1:10" s="128" customFormat="1" ht="20.100000000000001" customHeight="1" x14ac:dyDescent="0.2">
      <c r="A16" s="129">
        <v>9</v>
      </c>
      <c r="B16" s="130" t="str">
        <f>IF(C16="","",VLOOKUP(C16,liste!$A$9:$H$145,7,FALSE))</f>
        <v/>
      </c>
      <c r="C16" s="131" t="str">
        <f>IF(Tableau!$B$19="","",Tableau!$B$19)</f>
        <v/>
      </c>
      <c r="D16" s="132" t="str">
        <f>IF(C16="","",VLOOKUP(C16,liste!$A$9:$H$145,2,FALSE))</f>
        <v/>
      </c>
      <c r="E16" s="133" t="str">
        <f>IF(C16="","",VLOOKUP(C16,liste!$A$9:$H$145,4,FALSE))</f>
        <v/>
      </c>
      <c r="F16" s="133" t="str">
        <f>IF(C16="","",VLOOKUP(C16,liste!$A$9:$H$145,5,FALSE))</f>
        <v/>
      </c>
      <c r="G16" s="132" t="str">
        <f>IF(C16="","",VLOOKUP(C16,liste!$A$9:$H$145,3,FALSE))</f>
        <v/>
      </c>
      <c r="H16" s="133" t="str">
        <f>IF(C16="","",VLOOKUP(C16,liste!$A$9:$H$145,6,FALSE))</f>
        <v/>
      </c>
      <c r="I16" s="441">
        <v>20</v>
      </c>
      <c r="J16" s="134" t="str">
        <f t="shared" si="0"/>
        <v>E</v>
      </c>
    </row>
    <row r="17" spans="1:10" s="128" customFormat="1" ht="20.100000000000001" customHeight="1" x14ac:dyDescent="0.2">
      <c r="A17" s="129">
        <v>10</v>
      </c>
      <c r="B17" s="130" t="str">
        <f>IF(C17="","",VLOOKUP(C17,liste!$A$9:$H$145,7,FALSE))</f>
        <v/>
      </c>
      <c r="C17" s="131" t="str">
        <f>IF(Tableau!$B$26="","",Tableau!$B$26)</f>
        <v/>
      </c>
      <c r="D17" s="132" t="str">
        <f>IF(C17="","",VLOOKUP(C17,liste!$A$9:$H$145,2,FALSE))</f>
        <v/>
      </c>
      <c r="E17" s="133" t="str">
        <f>IF(C17="","",VLOOKUP(C17,liste!$A$9:$H$145,4,FALSE))</f>
        <v/>
      </c>
      <c r="F17" s="133" t="str">
        <f>IF(C17="","",VLOOKUP(C17,liste!$A$9:$H$145,5,FALSE))</f>
        <v/>
      </c>
      <c r="G17" s="132" t="str">
        <f>IF(C17="","",VLOOKUP(C17,liste!$A$9:$H$145,3,FALSE))</f>
        <v/>
      </c>
      <c r="H17" s="133" t="str">
        <f>IF(C17="","",VLOOKUP(C17,liste!$A$9:$H$145,6,FALSE))</f>
        <v/>
      </c>
      <c r="I17" s="441">
        <v>15</v>
      </c>
      <c r="J17" s="134" t="str">
        <f t="shared" si="0"/>
        <v>E</v>
      </c>
    </row>
    <row r="18" spans="1:10" s="128" customFormat="1" ht="20.100000000000001" customHeight="1" x14ac:dyDescent="0.2">
      <c r="A18" s="129">
        <v>11</v>
      </c>
      <c r="B18" s="130" t="str">
        <f>IF(C18="","",VLOOKUP(C18,liste!$A$9:$H$145,7,FALSE))</f>
        <v/>
      </c>
      <c r="C18" s="131" t="str">
        <f>IF(Tableau!$B$30="","",Tableau!$B$30)</f>
        <v/>
      </c>
      <c r="D18" s="132" t="str">
        <f>IF(C18="","",VLOOKUP(C18,liste!$A$9:$H$145,2,FALSE))</f>
        <v/>
      </c>
      <c r="E18" s="133" t="str">
        <f>IF(C18="","",VLOOKUP(C18,liste!$A$9:$H$145,4,FALSE))</f>
        <v/>
      </c>
      <c r="F18" s="133" t="str">
        <f>IF(C18="","",VLOOKUP(C18,liste!$A$9:$H$145,5,FALSE))</f>
        <v/>
      </c>
      <c r="G18" s="132" t="str">
        <f>IF(C18="","",VLOOKUP(C18,liste!$A$9:$H$145,3,FALSE))</f>
        <v/>
      </c>
      <c r="H18" s="133" t="str">
        <f>IF(C18="","",VLOOKUP(C18,liste!$A$9:$H$145,6,FALSE))</f>
        <v/>
      </c>
      <c r="I18" s="441">
        <v>10</v>
      </c>
      <c r="J18" s="134" t="str">
        <f t="shared" si="0"/>
        <v>E</v>
      </c>
    </row>
    <row r="19" spans="1:10" s="128" customFormat="1" ht="20.100000000000001" customHeight="1" x14ac:dyDescent="0.2">
      <c r="A19" s="129">
        <v>12</v>
      </c>
      <c r="B19" s="130" t="str">
        <f>IF(C19="","",VLOOKUP(C19,liste!$A$9:$H$145,7,FALSE))</f>
        <v/>
      </c>
      <c r="C19" s="131" t="str">
        <f>IF(Tableau!$B$32="","",Tableau!$B$32)</f>
        <v/>
      </c>
      <c r="D19" s="132" t="str">
        <f>IF(C19="","",VLOOKUP(C19,liste!$A$9:$H$145,2,FALSE))</f>
        <v/>
      </c>
      <c r="E19" s="133" t="str">
        <f>IF(C19="","",VLOOKUP(C19,liste!$A$9:$H$145,4,FALSE))</f>
        <v/>
      </c>
      <c r="F19" s="133" t="str">
        <f>IF(C19="","",VLOOKUP(C19,liste!$A$9:$H$145,5,FALSE))</f>
        <v/>
      </c>
      <c r="G19" s="132" t="str">
        <f>IF(C19="","",VLOOKUP(C19,liste!$A$9:$H$145,3,FALSE))</f>
        <v/>
      </c>
      <c r="H19" s="133" t="str">
        <f>IF(C19="","",VLOOKUP(C19,liste!$A$9:$H$145,6,FALSE))</f>
        <v/>
      </c>
      <c r="I19" s="441">
        <v>7</v>
      </c>
      <c r="J19" s="134" t="str">
        <f t="shared" si="0"/>
        <v>E</v>
      </c>
    </row>
    <row r="20" spans="1:10" s="128" customFormat="1" ht="20.100000000000001" customHeight="1" x14ac:dyDescent="0.2">
      <c r="A20" s="129">
        <v>13</v>
      </c>
      <c r="B20" s="130" t="str">
        <f>IF(C20="","",VLOOKUP(C20,liste!$A$9:$H$145,7,FALSE))</f>
        <v/>
      </c>
      <c r="C20" s="131" t="str">
        <f>IF(Tableau!$B$36="","",Tableau!$B$36)</f>
        <v/>
      </c>
      <c r="D20" s="132" t="str">
        <f>IF(C20="","",VLOOKUP(C20,liste!$A$9:$H$145,2,FALSE))</f>
        <v/>
      </c>
      <c r="E20" s="133" t="str">
        <f>IF(C20="","",VLOOKUP(C20,liste!$A$9:$H$145,4,FALSE))</f>
        <v/>
      </c>
      <c r="F20" s="133" t="str">
        <f>IF(C20="","",VLOOKUP(C20,liste!$A$9:$H$145,5,FALSE))</f>
        <v/>
      </c>
      <c r="G20" s="132" t="str">
        <f>IF(C20="","",VLOOKUP(C20,liste!$A$9:$H$145,3,FALSE))</f>
        <v/>
      </c>
      <c r="H20" s="133" t="str">
        <f>IF(C20="","",VLOOKUP(C20,liste!$A$9:$H$145,6,FALSE))</f>
        <v/>
      </c>
      <c r="I20" s="441">
        <v>5</v>
      </c>
      <c r="J20" s="134" t="str">
        <f t="shared" si="0"/>
        <v>E</v>
      </c>
    </row>
    <row r="21" spans="1:10" s="128" customFormat="1" ht="20.100000000000001" customHeight="1" x14ac:dyDescent="0.2">
      <c r="A21" s="129">
        <v>14</v>
      </c>
      <c r="B21" s="130" t="str">
        <f>IF(C21="","",VLOOKUP(C21,liste!$A$9:$H$145,7,FALSE))</f>
        <v/>
      </c>
      <c r="C21" s="131" t="str">
        <f>IF(Tableau!$B$39="","",Tableau!$B$39)</f>
        <v/>
      </c>
      <c r="D21" s="132" t="str">
        <f>IF(C21="","",VLOOKUP(C21,liste!$A$9:$H$145,2,FALSE))</f>
        <v/>
      </c>
      <c r="E21" s="133" t="str">
        <f>IF(C21="","",VLOOKUP(C21,liste!$A$9:$H$145,4,FALSE))</f>
        <v/>
      </c>
      <c r="F21" s="133" t="str">
        <f>IF(C21="","",VLOOKUP(C21,liste!$A$9:$H$145,5,FALSE))</f>
        <v/>
      </c>
      <c r="G21" s="132" t="str">
        <f>IF(C21="","",VLOOKUP(C21,liste!$A$9:$H$145,3,FALSE))</f>
        <v/>
      </c>
      <c r="H21" s="133" t="str">
        <f>IF(C21="","",VLOOKUP(C21,liste!$A$9:$H$145,6,FALSE))</f>
        <v/>
      </c>
      <c r="I21" s="441">
        <v>4</v>
      </c>
      <c r="J21" s="134" t="str">
        <f t="shared" si="0"/>
        <v>E</v>
      </c>
    </row>
    <row r="22" spans="1:10" s="128" customFormat="1" ht="20.100000000000001" customHeight="1" x14ac:dyDescent="0.2">
      <c r="A22" s="129">
        <v>15</v>
      </c>
      <c r="B22" s="130" t="str">
        <f>IF(C22="","",VLOOKUP(C22,liste!$A$9:$H$145,7,FALSE))</f>
        <v/>
      </c>
      <c r="C22" s="131" t="str">
        <f>IF(Tableau!$B$42="","",Tableau!$B$42)</f>
        <v/>
      </c>
      <c r="D22" s="132" t="str">
        <f>IF(C22="","",VLOOKUP(C22,liste!$A$9:$H$145,2,FALSE))</f>
        <v/>
      </c>
      <c r="E22" s="133" t="str">
        <f>IF(C22="","",VLOOKUP(C22,liste!$A$9:$H$145,4,FALSE))</f>
        <v/>
      </c>
      <c r="F22" s="133" t="str">
        <f>IF(C22="","",VLOOKUP(C22,liste!$A$9:$H$145,5,FALSE))</f>
        <v/>
      </c>
      <c r="G22" s="132" t="str">
        <f>IF(C22="","",VLOOKUP(C22,liste!$A$9:$H$145,3,FALSE))</f>
        <v/>
      </c>
      <c r="H22" s="133" t="str">
        <f>IF(C22="","",VLOOKUP(C22,liste!$A$9:$H$145,6,FALSE))</f>
        <v/>
      </c>
      <c r="I22" s="441">
        <v>3</v>
      </c>
      <c r="J22" s="134" t="str">
        <f t="shared" si="0"/>
        <v>E</v>
      </c>
    </row>
    <row r="23" spans="1:10" s="128" customFormat="1" ht="20.100000000000001" customHeight="1" thickBot="1" x14ac:dyDescent="0.25">
      <c r="A23" s="135">
        <v>16</v>
      </c>
      <c r="B23" s="136" t="str">
        <f>IF(C23="","",VLOOKUP(C23,liste!$A$9:$H$145,7,FALSE))</f>
        <v/>
      </c>
      <c r="C23" s="137" t="str">
        <f>IF(Tableau!$B$44="","",Tableau!$B$44)</f>
        <v/>
      </c>
      <c r="D23" s="138" t="str">
        <f>IF(C23="","",VLOOKUP(C23,liste!$A$9:$H$145,2,FALSE))</f>
        <v/>
      </c>
      <c r="E23" s="139" t="str">
        <f>IF(C23="","",VLOOKUP(C23,liste!$A$9:$H$145,4,FALSE))</f>
        <v/>
      </c>
      <c r="F23" s="139" t="str">
        <f>IF(C23="","",VLOOKUP(C23,liste!$A$9:$H$145,5,FALSE))</f>
        <v/>
      </c>
      <c r="G23" s="139" t="str">
        <f>IF(C23="","",VLOOKUP(C23,liste!$A$9:$H$145,3,FALSE))</f>
        <v/>
      </c>
      <c r="H23" s="139" t="str">
        <f>IF(C23="","",VLOOKUP(C23,liste!$A$9:$H$145,6,FALSE))</f>
        <v/>
      </c>
      <c r="I23" s="442">
        <v>2</v>
      </c>
      <c r="J23" s="140" t="str">
        <f t="shared" si="0"/>
        <v>E</v>
      </c>
    </row>
    <row r="25" spans="1:10" ht="18" customHeight="1" x14ac:dyDescent="0.2"/>
    <row r="26" spans="1:10" ht="15.75" x14ac:dyDescent="0.2">
      <c r="C26" s="856" t="s">
        <v>231</v>
      </c>
      <c r="D26" s="856"/>
      <c r="E26" s="856"/>
    </row>
    <row r="28" spans="1:10" x14ac:dyDescent="0.2">
      <c r="C28" s="857">
        <f>Rens!E13</f>
        <v>0</v>
      </c>
      <c r="D28" s="857"/>
      <c r="E28" s="857"/>
    </row>
  </sheetData>
  <sheetProtection sheet="1" selectLockedCells="1"/>
  <mergeCells count="13">
    <mergeCell ref="C26:E26"/>
    <mergeCell ref="C28:E28"/>
    <mergeCell ref="I7:J7"/>
    <mergeCell ref="A1:D1"/>
    <mergeCell ref="E1:J1"/>
    <mergeCell ref="E2:J2"/>
    <mergeCell ref="A2:D2"/>
    <mergeCell ref="A3:D3"/>
    <mergeCell ref="E3:J3"/>
    <mergeCell ref="A4:D4"/>
    <mergeCell ref="E4:J4"/>
    <mergeCell ref="A5:D5"/>
    <mergeCell ref="E5:J5"/>
  </mergeCells>
  <phoneticPr fontId="0" type="noConversion"/>
  <conditionalFormatting sqref="A1:J1048576">
    <cfRule type="cellIs" dxfId="0" priority="1" operator="equal">
      <formula>0</formula>
    </cfRule>
  </conditionalFormatting>
  <printOptions horizontalCentered="1" verticalCentered="1"/>
  <pageMargins left="0.23622047244094491" right="0.23622047244094491" top="0.27559055118110237" bottom="0.47244094488188981" header="0.39370078740157483" footer="0.23622047244094491"/>
  <pageSetup paperSize="9" scale="72" orientation="portrait" horizontalDpi="300" verticalDpi="300" r:id="rId1"/>
  <headerFooter alignWithMargins="0">
    <oddHeader>&amp;R&amp;A</oddHeader>
    <oddFooter xml:space="preserve">&amp;R&amp;"Times New Roman,Gras italique"&amp;12
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406"/>
  <sheetViews>
    <sheetView showGridLines="0" zoomScale="75" zoomScaleNormal="75" workbookViewId="0">
      <selection activeCell="AS12" sqref="AS12"/>
    </sheetView>
  </sheetViews>
  <sheetFormatPr baseColWidth="10" defaultColWidth="4" defaultRowHeight="25.15" customHeight="1" outlineLevelCol="1" x14ac:dyDescent="0.2"/>
  <cols>
    <col min="1" max="3" width="8.28515625" style="71" customWidth="1"/>
    <col min="4" max="8" width="6.28515625" style="71" customWidth="1"/>
    <col min="9" max="10" width="6.28515625" style="71" customWidth="1" outlineLevel="1"/>
    <col min="11" max="11" width="8.7109375" style="71" customWidth="1"/>
    <col min="12" max="14" width="8.28515625" style="71" customWidth="1"/>
    <col min="15" max="19" width="6.28515625" style="71" customWidth="1"/>
    <col min="20" max="21" width="6.28515625" style="71" customWidth="1" outlineLevel="1"/>
    <col min="22" max="22" width="2.42578125" style="71" customWidth="1"/>
    <col min="23" max="16384" width="4" style="71"/>
  </cols>
  <sheetData>
    <row r="1" spans="1:22" s="69" customFormat="1" ht="15.75" customHeight="1" x14ac:dyDescent="0.2">
      <c r="A1" s="877" t="str">
        <f>liste!$A$4</f>
        <v>Circuit Décathlon</v>
      </c>
      <c r="B1" s="878"/>
      <c r="C1" s="878"/>
      <c r="D1" s="878"/>
      <c r="E1" s="878"/>
      <c r="F1" s="878"/>
      <c r="G1" s="878"/>
      <c r="H1" s="878"/>
      <c r="I1" s="878"/>
      <c r="J1" s="879"/>
      <c r="K1" s="141"/>
      <c r="L1" s="877" t="str">
        <f>$A$1</f>
        <v>Circuit Décathlon</v>
      </c>
      <c r="M1" s="878"/>
      <c r="N1" s="878"/>
      <c r="O1" s="878"/>
      <c r="P1" s="878"/>
      <c r="Q1" s="878"/>
      <c r="R1" s="878"/>
      <c r="S1" s="878"/>
      <c r="T1" s="878"/>
      <c r="U1" s="879"/>
      <c r="V1" s="141"/>
    </row>
    <row r="2" spans="1:22" s="69" customFormat="1" ht="15.75" x14ac:dyDescent="0.2">
      <c r="A2" s="141"/>
      <c r="B2" s="71"/>
      <c r="C2" s="71"/>
      <c r="D2" s="142" t="s">
        <v>78</v>
      </c>
      <c r="E2" s="881">
        <f>Rens!B14</f>
        <v>0</v>
      </c>
      <c r="F2" s="881"/>
      <c r="G2" s="71"/>
      <c r="H2" s="71"/>
      <c r="I2" s="71"/>
      <c r="J2" s="143"/>
      <c r="K2" s="141"/>
      <c r="L2" s="141"/>
      <c r="M2" s="71"/>
      <c r="N2" s="71"/>
      <c r="O2" s="142" t="s">
        <v>78</v>
      </c>
      <c r="P2" s="881">
        <f>Rens!B15</f>
        <v>0</v>
      </c>
      <c r="Q2" s="881"/>
      <c r="R2" s="71"/>
      <c r="S2" s="71"/>
      <c r="T2" s="71"/>
      <c r="U2" s="71"/>
      <c r="V2" s="141"/>
    </row>
    <row r="3" spans="1:22" s="75" customFormat="1" ht="18.75" x14ac:dyDescent="0.2">
      <c r="A3" s="144" t="s">
        <v>79</v>
      </c>
      <c r="B3" s="145" t="str">
        <f>liste!$A$6</f>
        <v>FEM</v>
      </c>
      <c r="C3" s="74"/>
      <c r="D3" s="74"/>
      <c r="E3" s="74"/>
      <c r="F3" s="74"/>
      <c r="G3" s="74"/>
      <c r="H3" s="74"/>
      <c r="I3" s="74"/>
      <c r="J3" s="146"/>
      <c r="K3" s="147"/>
      <c r="L3" s="144" t="s">
        <v>79</v>
      </c>
      <c r="M3" s="145" t="str">
        <f>$B$3</f>
        <v>FEM</v>
      </c>
      <c r="N3" s="74"/>
      <c r="O3" s="74"/>
      <c r="P3" s="74"/>
      <c r="Q3" s="74"/>
      <c r="R3" s="74"/>
      <c r="S3" s="74"/>
      <c r="T3" s="74"/>
      <c r="U3" s="74"/>
      <c r="V3" s="147"/>
    </row>
    <row r="4" spans="1:22" s="75" customFormat="1" ht="18.75" x14ac:dyDescent="0.2">
      <c r="A4" s="880" t="str">
        <f>Tableau!$M$7</f>
        <v>Barrages 2ème/3ème</v>
      </c>
      <c r="B4" s="876"/>
      <c r="C4" s="876"/>
      <c r="D4" s="876"/>
      <c r="E4" s="74"/>
      <c r="F4" s="74"/>
      <c r="G4" s="145" t="str">
        <f>Rens!A14</f>
        <v>9 - 8</v>
      </c>
      <c r="H4" s="145"/>
      <c r="I4" s="74"/>
      <c r="J4" s="146"/>
      <c r="K4" s="147"/>
      <c r="L4" s="880" t="str">
        <f>$A$4</f>
        <v>Barrages 2ème/3ème</v>
      </c>
      <c r="M4" s="876"/>
      <c r="N4" s="876"/>
      <c r="O4" s="876"/>
      <c r="P4" s="74"/>
      <c r="Q4" s="74"/>
      <c r="R4" s="145" t="str">
        <f>Rens!A15</f>
        <v>5 - 12</v>
      </c>
      <c r="S4" s="145"/>
      <c r="T4" s="74"/>
      <c r="U4" s="74"/>
      <c r="V4" s="147"/>
    </row>
    <row r="5" spans="1:22" s="75" customFormat="1" ht="18.75" x14ac:dyDescent="0.2">
      <c r="A5" s="147"/>
      <c r="B5" s="148" t="str">
        <f>Tableau!R28</f>
        <v/>
      </c>
      <c r="C5" s="74"/>
      <c r="D5" s="74"/>
      <c r="E5" s="73" t="s">
        <v>142</v>
      </c>
      <c r="F5" s="72">
        <f>Rens!C14</f>
        <v>0</v>
      </c>
      <c r="G5" s="74"/>
      <c r="H5" s="74"/>
      <c r="I5" s="74"/>
      <c r="J5" s="146"/>
      <c r="K5" s="147"/>
      <c r="L5" s="147"/>
      <c r="M5" s="148" t="str">
        <f>Tableau!R20</f>
        <v/>
      </c>
      <c r="N5" s="74"/>
      <c r="O5" s="74"/>
      <c r="P5" s="73" t="s">
        <v>142</v>
      </c>
      <c r="Q5" s="72">
        <f>Rens!C15</f>
        <v>0</v>
      </c>
      <c r="R5" s="74"/>
      <c r="S5" s="74"/>
      <c r="T5" s="74"/>
      <c r="U5" s="74"/>
      <c r="V5" s="147"/>
    </row>
    <row r="6" spans="1:22" s="155" customFormat="1" ht="15.75" x14ac:dyDescent="0.2">
      <c r="A6" s="149" t="s">
        <v>80</v>
      </c>
      <c r="B6" s="150" t="str">
        <f>IF(B5="","",VLOOKUP(B5,liste!$A$9:$G$145,2,FALSE))</f>
        <v/>
      </c>
      <c r="C6" s="151"/>
      <c r="D6" s="151"/>
      <c r="E6" s="151"/>
      <c r="F6" s="151"/>
      <c r="G6" s="151"/>
      <c r="H6" s="151"/>
      <c r="I6" s="152"/>
      <c r="J6" s="153"/>
      <c r="K6" s="154"/>
      <c r="L6" s="149" t="s">
        <v>80</v>
      </c>
      <c r="M6" s="150" t="str">
        <f>IF(M5="","",VLOOKUP(M5,liste!$A$9:$G$145,2,FALSE))</f>
        <v/>
      </c>
      <c r="N6" s="151"/>
      <c r="O6" s="151"/>
      <c r="P6" s="151"/>
      <c r="Q6" s="151"/>
      <c r="R6" s="151"/>
      <c r="S6" s="151"/>
      <c r="T6" s="152"/>
      <c r="U6" s="152"/>
      <c r="V6" s="154"/>
    </row>
    <row r="7" spans="1:22" s="69" customFormat="1" ht="20.100000000000001" customHeight="1" x14ac:dyDescent="0.2">
      <c r="A7" s="141"/>
      <c r="B7" s="71"/>
      <c r="C7" s="71"/>
      <c r="D7" s="865" t="s">
        <v>19</v>
      </c>
      <c r="E7" s="866"/>
      <c r="F7" s="866"/>
      <c r="G7" s="866"/>
      <c r="H7" s="866"/>
      <c r="I7" s="866"/>
      <c r="J7" s="867"/>
      <c r="K7" s="141"/>
      <c r="L7" s="156"/>
      <c r="M7" s="157"/>
      <c r="N7" s="157"/>
      <c r="O7" s="865" t="s">
        <v>19</v>
      </c>
      <c r="P7" s="866"/>
      <c r="Q7" s="866"/>
      <c r="R7" s="866"/>
      <c r="S7" s="866"/>
      <c r="T7" s="866"/>
      <c r="U7" s="867"/>
      <c r="V7" s="141"/>
    </row>
    <row r="8" spans="1:22" s="69" customFormat="1" ht="20.100000000000001" customHeight="1" x14ac:dyDescent="0.2">
      <c r="A8" s="868" t="s">
        <v>81</v>
      </c>
      <c r="B8" s="869"/>
      <c r="C8" s="869"/>
      <c r="D8" s="158">
        <v>1</v>
      </c>
      <c r="E8" s="158">
        <v>2</v>
      </c>
      <c r="F8" s="158">
        <v>3</v>
      </c>
      <c r="G8" s="158">
        <v>4</v>
      </c>
      <c r="H8" s="158">
        <v>5</v>
      </c>
      <c r="I8" s="158">
        <v>6</v>
      </c>
      <c r="J8" s="158">
        <v>7</v>
      </c>
      <c r="K8" s="141"/>
      <c r="L8" s="868" t="s">
        <v>81</v>
      </c>
      <c r="M8" s="869"/>
      <c r="N8" s="869"/>
      <c r="O8" s="158">
        <v>1</v>
      </c>
      <c r="P8" s="158">
        <v>2</v>
      </c>
      <c r="Q8" s="158">
        <v>3</v>
      </c>
      <c r="R8" s="158">
        <v>4</v>
      </c>
      <c r="S8" s="158">
        <v>5</v>
      </c>
      <c r="T8" s="158">
        <v>6</v>
      </c>
      <c r="U8" s="159">
        <v>7</v>
      </c>
      <c r="V8" s="141"/>
    </row>
    <row r="9" spans="1:22" s="69" customFormat="1" ht="20.100000000000001" customHeight="1" x14ac:dyDescent="0.2">
      <c r="A9" s="160"/>
      <c r="B9" s="161"/>
      <c r="C9" s="161"/>
      <c r="D9" s="870" t="s">
        <v>87</v>
      </c>
      <c r="E9" s="871"/>
      <c r="F9" s="871"/>
      <c r="G9" s="871"/>
      <c r="H9" s="871"/>
      <c r="I9" s="871"/>
      <c r="J9" s="872"/>
      <c r="K9" s="141"/>
      <c r="L9" s="160"/>
      <c r="M9" s="161"/>
      <c r="N9" s="161"/>
      <c r="O9" s="870" t="s">
        <v>87</v>
      </c>
      <c r="P9" s="871"/>
      <c r="Q9" s="871"/>
      <c r="R9" s="871"/>
      <c r="S9" s="871"/>
      <c r="T9" s="871"/>
      <c r="U9" s="872"/>
      <c r="V9" s="141"/>
    </row>
    <row r="10" spans="1:22" s="69" customFormat="1" ht="18.75" x14ac:dyDescent="0.2">
      <c r="A10" s="162" t="str">
        <f>IF(Tableau!$M$11="","",Tableau!$M$11)</f>
        <v/>
      </c>
      <c r="B10" s="71"/>
      <c r="C10" s="71"/>
      <c r="D10" s="163"/>
      <c r="E10" s="163"/>
      <c r="F10" s="163"/>
      <c r="G10" s="163"/>
      <c r="H10" s="163"/>
      <c r="I10" s="163"/>
      <c r="J10" s="163"/>
      <c r="K10" s="141"/>
      <c r="L10" s="162" t="str">
        <f>IF(Tableau!$M$15="","",Tableau!$M$15)</f>
        <v/>
      </c>
      <c r="M10" s="71"/>
      <c r="N10" s="71"/>
      <c r="O10" s="164"/>
      <c r="P10" s="164"/>
      <c r="Q10" s="164"/>
      <c r="R10" s="164"/>
      <c r="S10" s="164"/>
      <c r="T10" s="164"/>
      <c r="U10" s="165"/>
      <c r="V10" s="141"/>
    </row>
    <row r="11" spans="1:22" s="69" customFormat="1" ht="20.100000000000001" customHeight="1" x14ac:dyDescent="0.2">
      <c r="A11" s="873" t="str">
        <f>IF(A10="","",VLOOKUP(A10,liste!$A$9:$G$145,2,FALSE))</f>
        <v/>
      </c>
      <c r="B11" s="874" t="e">
        <v>#N/A</v>
      </c>
      <c r="C11" s="874" t="e">
        <v>#N/A</v>
      </c>
      <c r="D11" s="163"/>
      <c r="E11" s="163"/>
      <c r="F11" s="163"/>
      <c r="G11" s="163"/>
      <c r="H11" s="163"/>
      <c r="I11" s="163"/>
      <c r="J11" s="163"/>
      <c r="K11" s="141"/>
      <c r="L11" s="873" t="str">
        <f>IF(L10="","",VLOOKUP(L10,liste!$A$9:$G$145,2,FALSE))</f>
        <v/>
      </c>
      <c r="M11" s="874" t="e">
        <v>#N/A</v>
      </c>
      <c r="N11" s="874" t="e">
        <v>#N/A</v>
      </c>
      <c r="O11" s="163"/>
      <c r="P11" s="163"/>
      <c r="Q11" s="163"/>
      <c r="R11" s="163"/>
      <c r="S11" s="163"/>
      <c r="T11" s="163"/>
      <c r="U11" s="141"/>
      <c r="V11" s="141"/>
    </row>
    <row r="12" spans="1:22" s="69" customFormat="1" ht="20.100000000000001" customHeight="1" x14ac:dyDescent="0.2">
      <c r="A12" s="141"/>
      <c r="B12" s="71"/>
      <c r="C12" s="166" t="str">
        <f>IF(A10="","",VLOOKUP(A10,liste!$A$9:$G$145,4,FALSE))</f>
        <v/>
      </c>
      <c r="D12" s="167"/>
      <c r="E12" s="167"/>
      <c r="F12" s="167"/>
      <c r="G12" s="167"/>
      <c r="H12" s="167"/>
      <c r="I12" s="167"/>
      <c r="J12" s="167"/>
      <c r="K12" s="141"/>
      <c r="L12" s="141"/>
      <c r="M12" s="71"/>
      <c r="N12" s="166" t="str">
        <f>IF(L10="","",VLOOKUP(L10,liste!$A$9:$G$145,4,FALSE))</f>
        <v/>
      </c>
      <c r="O12" s="167"/>
      <c r="P12" s="167"/>
      <c r="Q12" s="167"/>
      <c r="R12" s="167"/>
      <c r="S12" s="167"/>
      <c r="T12" s="167"/>
      <c r="U12" s="168"/>
      <c r="V12" s="141"/>
    </row>
    <row r="13" spans="1:22" s="69" customFormat="1" ht="15.75" x14ac:dyDescent="0.2">
      <c r="A13" s="169" t="str">
        <f>IF(A10="","",VLOOKUP(A10,liste!$A$9:$G$145,3,FALSE))</f>
        <v/>
      </c>
      <c r="B13" s="71"/>
      <c r="C13" s="71"/>
      <c r="D13" s="170"/>
      <c r="E13" s="170"/>
      <c r="F13" s="170"/>
      <c r="G13" s="170"/>
      <c r="H13" s="170"/>
      <c r="I13" s="171"/>
      <c r="J13" s="171"/>
      <c r="K13" s="141"/>
      <c r="L13" s="169" t="str">
        <f>IF(L10="","",VLOOKUP(L10,liste!$A$9:$G$145,3,FALSE))</f>
        <v/>
      </c>
      <c r="M13" s="71"/>
      <c r="N13" s="71"/>
      <c r="O13" s="170"/>
      <c r="P13" s="170"/>
      <c r="Q13" s="170"/>
      <c r="R13" s="170"/>
      <c r="S13" s="170"/>
      <c r="T13" s="171"/>
      <c r="U13" s="172"/>
      <c r="V13" s="141"/>
    </row>
    <row r="14" spans="1:22" s="69" customFormat="1" ht="12.75" x14ac:dyDescent="0.2">
      <c r="A14" s="141"/>
      <c r="B14" s="70" t="s">
        <v>9</v>
      </c>
      <c r="C14" s="71"/>
      <c r="D14" s="173"/>
      <c r="E14" s="173"/>
      <c r="F14" s="173"/>
      <c r="G14" s="173"/>
      <c r="H14" s="173"/>
      <c r="I14" s="174"/>
      <c r="J14" s="174"/>
      <c r="K14" s="141"/>
      <c r="L14" s="141"/>
      <c r="M14" s="70" t="s">
        <v>9</v>
      </c>
      <c r="N14" s="71"/>
      <c r="O14" s="173"/>
      <c r="P14" s="173"/>
      <c r="Q14" s="173"/>
      <c r="R14" s="173"/>
      <c r="S14" s="173"/>
      <c r="T14" s="174"/>
      <c r="U14" s="175"/>
      <c r="V14" s="141"/>
    </row>
    <row r="15" spans="1:22" s="69" customFormat="1" ht="18.75" x14ac:dyDescent="0.2">
      <c r="A15" s="162" t="str">
        <f>IF(Tableau!$M$13="","",Tableau!$M$13)</f>
        <v/>
      </c>
      <c r="B15" s="71"/>
      <c r="C15" s="71"/>
      <c r="D15" s="164"/>
      <c r="E15" s="164"/>
      <c r="F15" s="164"/>
      <c r="G15" s="164"/>
      <c r="H15" s="164"/>
      <c r="I15" s="164"/>
      <c r="J15" s="164"/>
      <c r="K15" s="141"/>
      <c r="L15" s="162" t="str">
        <f>IF(Tableau!$M$17="","",Tableau!$M$17)</f>
        <v/>
      </c>
      <c r="M15" s="71"/>
      <c r="N15" s="71"/>
      <c r="O15" s="164"/>
      <c r="P15" s="164"/>
      <c r="Q15" s="164"/>
      <c r="R15" s="164"/>
      <c r="S15" s="164"/>
      <c r="T15" s="164"/>
      <c r="U15" s="165"/>
      <c r="V15" s="141"/>
    </row>
    <row r="16" spans="1:22" s="69" customFormat="1" ht="20.100000000000001" customHeight="1" x14ac:dyDescent="0.2">
      <c r="A16" s="873" t="str">
        <f>IF(A15="","",VLOOKUP(A15,liste!$A$9:$G$145,2,FALSE))</f>
        <v/>
      </c>
      <c r="B16" s="874" t="e">
        <v>#N/A</v>
      </c>
      <c r="C16" s="874" t="e">
        <v>#N/A</v>
      </c>
      <c r="D16" s="163"/>
      <c r="E16" s="163"/>
      <c r="F16" s="163"/>
      <c r="G16" s="163"/>
      <c r="H16" s="163"/>
      <c r="I16" s="163"/>
      <c r="J16" s="163"/>
      <c r="K16" s="141"/>
      <c r="L16" s="873" t="str">
        <f>IF(L15="","",VLOOKUP(L15,liste!$A$9:$G$145,2,FALSE))</f>
        <v/>
      </c>
      <c r="M16" s="874" t="e">
        <v>#N/A</v>
      </c>
      <c r="N16" s="874" t="e">
        <v>#N/A</v>
      </c>
      <c r="O16" s="163"/>
      <c r="P16" s="163"/>
      <c r="Q16" s="163"/>
      <c r="R16" s="163"/>
      <c r="S16" s="163"/>
      <c r="T16" s="163"/>
      <c r="U16" s="141"/>
      <c r="V16" s="141"/>
    </row>
    <row r="17" spans="1:22" s="69" customFormat="1" ht="20.100000000000001" customHeight="1" x14ac:dyDescent="0.2">
      <c r="A17" s="141"/>
      <c r="B17" s="71"/>
      <c r="C17" s="176" t="str">
        <f>IF(A15="","",VLOOKUP(A15,liste!$A$9:$G$145,4,FALSE))</f>
        <v/>
      </c>
      <c r="D17" s="167"/>
      <c r="E17" s="167"/>
      <c r="F17" s="167"/>
      <c r="G17" s="167"/>
      <c r="H17" s="167"/>
      <c r="I17" s="167"/>
      <c r="J17" s="167"/>
      <c r="K17" s="141"/>
      <c r="L17" s="141"/>
      <c r="M17" s="71"/>
      <c r="N17" s="176" t="str">
        <f>IF(L15="","",VLOOKUP(L15,liste!$A$9:$G$145,4,FALSE))</f>
        <v/>
      </c>
      <c r="O17" s="167"/>
      <c r="P17" s="167"/>
      <c r="Q17" s="167"/>
      <c r="R17" s="167"/>
      <c r="S17" s="167"/>
      <c r="T17" s="167"/>
      <c r="U17" s="168"/>
      <c r="V17" s="141"/>
    </row>
    <row r="18" spans="1:22" s="69" customFormat="1" ht="15.75" x14ac:dyDescent="0.2">
      <c r="A18" s="169" t="str">
        <f>IF(A15="","",VLOOKUP(A15,liste!$A$9:$G$145,3,FALSE))</f>
        <v/>
      </c>
      <c r="B18" s="71"/>
      <c r="C18" s="71"/>
      <c r="D18" s="170"/>
      <c r="E18" s="170"/>
      <c r="F18" s="170"/>
      <c r="G18" s="170"/>
      <c r="H18" s="170"/>
      <c r="I18" s="171"/>
      <c r="J18" s="171"/>
      <c r="K18" s="141"/>
      <c r="L18" s="169" t="str">
        <f>IF(L15="","",VLOOKUP(L15,liste!$A$9:$G$145,3,FALSE))</f>
        <v/>
      </c>
      <c r="M18" s="71"/>
      <c r="N18" s="71"/>
      <c r="O18" s="170"/>
      <c r="P18" s="170"/>
      <c r="Q18" s="170"/>
      <c r="R18" s="170"/>
      <c r="S18" s="170"/>
      <c r="T18" s="171"/>
      <c r="U18" s="172"/>
      <c r="V18" s="141"/>
    </row>
    <row r="19" spans="1:22" s="69" customFormat="1" ht="12.75" x14ac:dyDescent="0.2">
      <c r="A19" s="141"/>
      <c r="B19" s="71"/>
      <c r="C19" s="71"/>
      <c r="D19" s="173"/>
      <c r="E19" s="173"/>
      <c r="F19" s="173"/>
      <c r="G19" s="173"/>
      <c r="H19" s="173"/>
      <c r="I19" s="174"/>
      <c r="J19" s="174"/>
      <c r="K19" s="141"/>
      <c r="L19" s="141"/>
      <c r="M19" s="71"/>
      <c r="N19" s="71"/>
      <c r="O19" s="173"/>
      <c r="P19" s="173"/>
      <c r="Q19" s="173"/>
      <c r="R19" s="173"/>
      <c r="S19" s="173"/>
      <c r="T19" s="174"/>
      <c r="U19" s="175"/>
      <c r="V19" s="141"/>
    </row>
    <row r="20" spans="1:22" s="69" customFormat="1" ht="12.75" x14ac:dyDescent="0.2">
      <c r="A20" s="141"/>
      <c r="B20" s="71"/>
      <c r="C20" s="71"/>
      <c r="D20" s="71"/>
      <c r="E20" s="71"/>
      <c r="F20" s="71"/>
      <c r="G20" s="71"/>
      <c r="H20" s="71"/>
      <c r="I20" s="71"/>
      <c r="J20" s="143"/>
      <c r="K20" s="141"/>
      <c r="L20" s="141"/>
      <c r="M20" s="71"/>
      <c r="N20" s="71"/>
      <c r="O20" s="71"/>
      <c r="P20" s="71"/>
      <c r="Q20" s="71"/>
      <c r="R20" s="71"/>
      <c r="S20" s="71"/>
      <c r="T20" s="71"/>
      <c r="U20" s="71"/>
      <c r="V20" s="141"/>
    </row>
    <row r="21" spans="1:22" s="69" customFormat="1" ht="20.100000000000001" customHeight="1" x14ac:dyDescent="0.2">
      <c r="A21" s="863" t="s">
        <v>85</v>
      </c>
      <c r="B21" s="864"/>
      <c r="C21" s="864"/>
      <c r="D21" s="177" t="s">
        <v>72</v>
      </c>
      <c r="E21" s="178" t="s">
        <v>82</v>
      </c>
      <c r="F21" s="178" t="s">
        <v>83</v>
      </c>
      <c r="G21" s="71"/>
      <c r="H21" s="71"/>
      <c r="I21" s="71"/>
      <c r="J21" s="143"/>
      <c r="K21" s="141"/>
      <c r="L21" s="863" t="s">
        <v>85</v>
      </c>
      <c r="M21" s="864"/>
      <c r="N21" s="864"/>
      <c r="O21" s="178" t="s">
        <v>72</v>
      </c>
      <c r="P21" s="178" t="s">
        <v>82</v>
      </c>
      <c r="Q21" s="178" t="s">
        <v>83</v>
      </c>
      <c r="R21" s="71"/>
      <c r="S21" s="71"/>
      <c r="T21" s="71"/>
      <c r="U21" s="71"/>
      <c r="V21" s="141"/>
    </row>
    <row r="22" spans="1:22" s="69" customFormat="1" ht="20.100000000000001" customHeight="1" x14ac:dyDescent="0.2">
      <c r="A22" s="179" t="str">
        <f>A11</f>
        <v/>
      </c>
      <c r="B22" s="180"/>
      <c r="C22" s="181"/>
      <c r="D22" s="164"/>
      <c r="E22" s="164"/>
      <c r="F22" s="164"/>
      <c r="G22" s="71"/>
      <c r="H22" s="71"/>
      <c r="I22" s="71"/>
      <c r="J22" s="143"/>
      <c r="K22" s="141"/>
      <c r="L22" s="179" t="str">
        <f>L11</f>
        <v/>
      </c>
      <c r="M22" s="180"/>
      <c r="N22" s="181"/>
      <c r="O22" s="164"/>
      <c r="P22" s="164"/>
      <c r="Q22" s="164"/>
      <c r="R22" s="71"/>
      <c r="S22" s="71"/>
      <c r="T22" s="71"/>
      <c r="U22" s="71"/>
      <c r="V22" s="141"/>
    </row>
    <row r="23" spans="1:22" s="69" customFormat="1" ht="20.100000000000001" customHeight="1" x14ac:dyDescent="0.2">
      <c r="A23" s="168"/>
      <c r="B23" s="182"/>
      <c r="C23" s="183"/>
      <c r="D23" s="167"/>
      <c r="E23" s="167"/>
      <c r="F23" s="167"/>
      <c r="G23" s="71"/>
      <c r="H23" s="71"/>
      <c r="I23" s="71"/>
      <c r="J23" s="143"/>
      <c r="K23" s="141"/>
      <c r="L23" s="168"/>
      <c r="M23" s="182"/>
      <c r="N23" s="183"/>
      <c r="O23" s="167"/>
      <c r="P23" s="167"/>
      <c r="Q23" s="167"/>
      <c r="R23" s="71"/>
      <c r="S23" s="71"/>
      <c r="T23" s="71"/>
      <c r="U23" s="71"/>
      <c r="V23" s="141"/>
    </row>
    <row r="24" spans="1:22" s="69" customFormat="1" ht="20.100000000000001" customHeight="1" x14ac:dyDescent="0.2">
      <c r="A24" s="179" t="str">
        <f>A16</f>
        <v/>
      </c>
      <c r="B24" s="180"/>
      <c r="C24" s="181"/>
      <c r="D24" s="164"/>
      <c r="E24" s="164"/>
      <c r="F24" s="164"/>
      <c r="G24" s="71"/>
      <c r="H24" s="71"/>
      <c r="I24" s="71"/>
      <c r="J24" s="143"/>
      <c r="K24" s="141"/>
      <c r="L24" s="179" t="str">
        <f>L16</f>
        <v/>
      </c>
      <c r="M24" s="180"/>
      <c r="N24" s="181"/>
      <c r="O24" s="164"/>
      <c r="P24" s="164"/>
      <c r="Q24" s="164"/>
      <c r="R24" s="71"/>
      <c r="S24" s="71"/>
      <c r="T24" s="71"/>
      <c r="U24" s="71"/>
      <c r="V24" s="141"/>
    </row>
    <row r="25" spans="1:22" s="69" customFormat="1" ht="20.100000000000001" customHeight="1" x14ac:dyDescent="0.2">
      <c r="A25" s="168"/>
      <c r="B25" s="182"/>
      <c r="C25" s="183"/>
      <c r="D25" s="167"/>
      <c r="E25" s="167"/>
      <c r="F25" s="167"/>
      <c r="G25" s="71"/>
      <c r="H25" s="71"/>
      <c r="I25" s="71"/>
      <c r="J25" s="143"/>
      <c r="K25" s="141"/>
      <c r="L25" s="168"/>
      <c r="M25" s="182"/>
      <c r="N25" s="183"/>
      <c r="O25" s="167"/>
      <c r="P25" s="167"/>
      <c r="Q25" s="167"/>
      <c r="R25" s="71"/>
      <c r="S25" s="71"/>
      <c r="T25" s="71"/>
      <c r="U25" s="71"/>
      <c r="V25" s="141"/>
    </row>
    <row r="26" spans="1:22" s="69" customFormat="1" ht="12.75" x14ac:dyDescent="0.2">
      <c r="A26" s="184" t="s">
        <v>86</v>
      </c>
      <c r="B26" s="71"/>
      <c r="C26" s="71"/>
      <c r="D26" s="71"/>
      <c r="E26" s="71"/>
      <c r="F26" s="71"/>
      <c r="G26" s="71"/>
      <c r="H26" s="71"/>
      <c r="I26" s="71"/>
      <c r="J26" s="143"/>
      <c r="K26" s="141"/>
      <c r="L26" s="184" t="s">
        <v>86</v>
      </c>
      <c r="M26" s="71"/>
      <c r="N26" s="71"/>
      <c r="O26" s="71"/>
      <c r="P26" s="71"/>
      <c r="Q26" s="71"/>
      <c r="R26" s="71"/>
      <c r="S26" s="71"/>
      <c r="T26" s="71"/>
      <c r="U26" s="71"/>
      <c r="V26" s="141"/>
    </row>
    <row r="27" spans="1:22" s="69" customFormat="1" ht="12.75" x14ac:dyDescent="0.2">
      <c r="A27" s="141"/>
      <c r="B27" s="71"/>
      <c r="C27" s="71"/>
      <c r="D27" s="71"/>
      <c r="E27" s="71"/>
      <c r="F27" s="71"/>
      <c r="G27" s="71"/>
      <c r="H27" s="71"/>
      <c r="I27" s="71"/>
      <c r="J27" s="143"/>
      <c r="K27" s="141"/>
      <c r="L27" s="141"/>
      <c r="M27" s="71"/>
      <c r="N27" s="71"/>
      <c r="O27" s="71"/>
      <c r="P27" s="71"/>
      <c r="Q27" s="71"/>
      <c r="R27" s="71"/>
      <c r="S27" s="71"/>
      <c r="T27" s="71"/>
      <c r="U27" s="71"/>
      <c r="V27" s="141"/>
    </row>
    <row r="28" spans="1:22" s="69" customFormat="1" ht="12.75" x14ac:dyDescent="0.2">
      <c r="A28" s="185" t="s">
        <v>84</v>
      </c>
      <c r="B28" s="182"/>
      <c r="C28" s="182"/>
      <c r="D28" s="182"/>
      <c r="E28" s="182"/>
      <c r="F28" s="182"/>
      <c r="G28" s="182"/>
      <c r="H28" s="182"/>
      <c r="I28" s="182"/>
      <c r="J28" s="183"/>
      <c r="K28" s="141"/>
      <c r="L28" s="185" t="s">
        <v>84</v>
      </c>
      <c r="M28" s="182"/>
      <c r="N28" s="182"/>
      <c r="O28" s="182"/>
      <c r="P28" s="182"/>
      <c r="Q28" s="182"/>
      <c r="R28" s="182"/>
      <c r="S28" s="182"/>
      <c r="T28" s="182"/>
      <c r="U28" s="182"/>
      <c r="V28" s="141"/>
    </row>
    <row r="29" spans="1:22" s="69" customFormat="1" ht="50.1" customHeight="1" x14ac:dyDescent="0.2">
      <c r="V29" s="71"/>
    </row>
    <row r="30" spans="1:22" s="69" customFormat="1" ht="50.1" customHeight="1" x14ac:dyDescent="0.2">
      <c r="V30" s="71"/>
    </row>
    <row r="31" spans="1:22" s="69" customFormat="1" ht="20.100000000000001" customHeight="1" x14ac:dyDescent="0.2">
      <c r="A31" s="877" t="str">
        <f>$A$1</f>
        <v>Circuit Décathlon</v>
      </c>
      <c r="B31" s="878"/>
      <c r="C31" s="878"/>
      <c r="D31" s="878"/>
      <c r="E31" s="878"/>
      <c r="F31" s="878"/>
      <c r="G31" s="878"/>
      <c r="H31" s="878"/>
      <c r="I31" s="878"/>
      <c r="J31" s="879"/>
      <c r="K31" s="141"/>
      <c r="L31" s="877" t="str">
        <f>$A$1</f>
        <v>Circuit Décathlon</v>
      </c>
      <c r="M31" s="878"/>
      <c r="N31" s="878"/>
      <c r="O31" s="878"/>
      <c r="P31" s="878"/>
      <c r="Q31" s="878"/>
      <c r="R31" s="878"/>
      <c r="S31" s="878"/>
      <c r="T31" s="878"/>
      <c r="U31" s="879"/>
      <c r="V31" s="141"/>
    </row>
    <row r="32" spans="1:22" s="69" customFormat="1" ht="15.75" x14ac:dyDescent="0.2">
      <c r="A32" s="141"/>
      <c r="B32" s="71"/>
      <c r="C32" s="71"/>
      <c r="D32" s="142" t="s">
        <v>78</v>
      </c>
      <c r="E32" s="881">
        <f>Rens!B16</f>
        <v>0</v>
      </c>
      <c r="F32" s="881"/>
      <c r="G32" s="71"/>
      <c r="H32" s="71"/>
      <c r="I32" s="71"/>
      <c r="J32" s="143"/>
      <c r="K32" s="141"/>
      <c r="L32" s="141"/>
      <c r="M32" s="71"/>
      <c r="N32" s="71"/>
      <c r="O32" s="142" t="s">
        <v>78</v>
      </c>
      <c r="P32" s="881">
        <f>Rens!B17</f>
        <v>0</v>
      </c>
      <c r="Q32" s="881"/>
      <c r="R32" s="71"/>
      <c r="S32" s="71"/>
      <c r="T32" s="71"/>
      <c r="U32" s="71"/>
      <c r="V32" s="141"/>
    </row>
    <row r="33" spans="1:22" s="75" customFormat="1" ht="18.75" x14ac:dyDescent="0.2">
      <c r="A33" s="144" t="s">
        <v>79</v>
      </c>
      <c r="B33" s="145" t="str">
        <f>$B$3</f>
        <v>FEM</v>
      </c>
      <c r="C33" s="74"/>
      <c r="D33" s="74"/>
      <c r="E33" s="74"/>
      <c r="F33" s="74"/>
      <c r="G33" s="74"/>
      <c r="H33" s="74"/>
      <c r="I33" s="74"/>
      <c r="J33" s="146"/>
      <c r="K33" s="147"/>
      <c r="L33" s="144" t="s">
        <v>79</v>
      </c>
      <c r="M33" s="145" t="str">
        <f>$B$3</f>
        <v>FEM</v>
      </c>
      <c r="N33" s="74"/>
      <c r="O33" s="74"/>
      <c r="P33" s="74"/>
      <c r="Q33" s="74"/>
      <c r="R33" s="74"/>
      <c r="S33" s="74"/>
      <c r="T33" s="74"/>
      <c r="U33" s="74"/>
      <c r="V33" s="147"/>
    </row>
    <row r="34" spans="1:22" s="75" customFormat="1" ht="18.75" x14ac:dyDescent="0.2">
      <c r="A34" s="880" t="str">
        <f>$A$4</f>
        <v>Barrages 2ème/3ème</v>
      </c>
      <c r="B34" s="876"/>
      <c r="C34" s="876"/>
      <c r="D34" s="876"/>
      <c r="E34" s="74"/>
      <c r="F34" s="74"/>
      <c r="G34" s="145" t="str">
        <f>Rens!A16</f>
        <v>11 - 6</v>
      </c>
      <c r="H34" s="145"/>
      <c r="I34" s="74"/>
      <c r="J34" s="146"/>
      <c r="K34" s="147"/>
      <c r="L34" s="880" t="str">
        <f>$A$4</f>
        <v>Barrages 2ème/3ème</v>
      </c>
      <c r="M34" s="876"/>
      <c r="N34" s="876"/>
      <c r="O34" s="876"/>
      <c r="P34" s="74"/>
      <c r="Q34" s="74"/>
      <c r="R34" s="186" t="str">
        <f>Rens!A17</f>
        <v>7 - 10</v>
      </c>
      <c r="S34" s="145"/>
      <c r="T34" s="74"/>
      <c r="U34" s="74"/>
      <c r="V34" s="147"/>
    </row>
    <row r="35" spans="1:22" s="155" customFormat="1" ht="18.75" x14ac:dyDescent="0.2">
      <c r="A35" s="154"/>
      <c r="B35" s="187" t="str">
        <f>Tableau!R18</f>
        <v/>
      </c>
      <c r="C35" s="152"/>
      <c r="D35" s="152"/>
      <c r="E35" s="73" t="s">
        <v>142</v>
      </c>
      <c r="F35" s="72">
        <f>Rens!C16</f>
        <v>0</v>
      </c>
      <c r="G35" s="152"/>
      <c r="H35" s="152"/>
      <c r="I35" s="152"/>
      <c r="J35" s="153"/>
      <c r="K35" s="154"/>
      <c r="L35" s="154"/>
      <c r="M35" s="187" t="str">
        <f>Tableau!R10</f>
        <v/>
      </c>
      <c r="N35" s="152"/>
      <c r="O35" s="152"/>
      <c r="P35" s="73" t="s">
        <v>142</v>
      </c>
      <c r="Q35" s="72">
        <f>Rens!C17</f>
        <v>0</v>
      </c>
      <c r="R35" s="152"/>
      <c r="S35" s="152"/>
      <c r="T35" s="152"/>
      <c r="U35" s="152"/>
      <c r="V35" s="154"/>
    </row>
    <row r="36" spans="1:22" s="155" customFormat="1" ht="15.75" x14ac:dyDescent="0.2">
      <c r="A36" s="149" t="s">
        <v>80</v>
      </c>
      <c r="B36" s="150" t="str">
        <f>IF(B35="","",VLOOKUP(B35,liste!$A$9:$G$145,2,FALSE))</f>
        <v/>
      </c>
      <c r="C36" s="151"/>
      <c r="D36" s="151"/>
      <c r="E36" s="151"/>
      <c r="F36" s="151"/>
      <c r="G36" s="151"/>
      <c r="H36" s="151"/>
      <c r="I36" s="152"/>
      <c r="J36" s="153"/>
      <c r="K36" s="154"/>
      <c r="L36" s="149" t="s">
        <v>80</v>
      </c>
      <c r="M36" s="150" t="str">
        <f>IF(M35="","",VLOOKUP(M35,liste!$A$9:$G$145,2,FALSE))</f>
        <v/>
      </c>
      <c r="N36" s="151"/>
      <c r="O36" s="151"/>
      <c r="P36" s="151"/>
      <c r="Q36" s="151"/>
      <c r="R36" s="151"/>
      <c r="S36" s="151"/>
      <c r="T36" s="152"/>
      <c r="U36" s="152"/>
      <c r="V36" s="154"/>
    </row>
    <row r="37" spans="1:22" s="69" customFormat="1" ht="20.100000000000001" customHeight="1" x14ac:dyDescent="0.2">
      <c r="A37" s="141"/>
      <c r="D37" s="865" t="s">
        <v>19</v>
      </c>
      <c r="E37" s="866"/>
      <c r="F37" s="866"/>
      <c r="G37" s="866"/>
      <c r="H37" s="866"/>
      <c r="I37" s="866"/>
      <c r="J37" s="867"/>
      <c r="K37" s="141"/>
      <c r="L37" s="156"/>
      <c r="M37" s="157"/>
      <c r="N37" s="157"/>
      <c r="O37" s="865" t="s">
        <v>19</v>
      </c>
      <c r="P37" s="866"/>
      <c r="Q37" s="866"/>
      <c r="R37" s="866"/>
      <c r="S37" s="866"/>
      <c r="T37" s="866"/>
      <c r="U37" s="867"/>
      <c r="V37" s="141"/>
    </row>
    <row r="38" spans="1:22" s="69" customFormat="1" ht="20.100000000000001" customHeight="1" x14ac:dyDescent="0.2">
      <c r="A38" s="868" t="s">
        <v>81</v>
      </c>
      <c r="B38" s="869"/>
      <c r="C38" s="869"/>
      <c r="D38" s="158">
        <v>1</v>
      </c>
      <c r="E38" s="158">
        <v>2</v>
      </c>
      <c r="F38" s="158">
        <v>3</v>
      </c>
      <c r="G38" s="158">
        <v>4</v>
      </c>
      <c r="H38" s="158">
        <v>5</v>
      </c>
      <c r="I38" s="158">
        <v>6</v>
      </c>
      <c r="J38" s="158">
        <v>7</v>
      </c>
      <c r="K38" s="141"/>
      <c r="L38" s="868" t="s">
        <v>81</v>
      </c>
      <c r="M38" s="869"/>
      <c r="N38" s="869"/>
      <c r="O38" s="158">
        <v>1</v>
      </c>
      <c r="P38" s="158">
        <v>2</v>
      </c>
      <c r="Q38" s="158">
        <v>3</v>
      </c>
      <c r="R38" s="158">
        <v>4</v>
      </c>
      <c r="S38" s="158">
        <v>5</v>
      </c>
      <c r="T38" s="158">
        <v>6</v>
      </c>
      <c r="U38" s="159">
        <v>7</v>
      </c>
      <c r="V38" s="141"/>
    </row>
    <row r="39" spans="1:22" s="69" customFormat="1" ht="20.100000000000001" customHeight="1" x14ac:dyDescent="0.2">
      <c r="A39" s="160"/>
      <c r="B39" s="161"/>
      <c r="C39" s="161"/>
      <c r="D39" s="870" t="s">
        <v>87</v>
      </c>
      <c r="E39" s="871"/>
      <c r="F39" s="871"/>
      <c r="G39" s="871"/>
      <c r="H39" s="871"/>
      <c r="I39" s="871"/>
      <c r="J39" s="872"/>
      <c r="K39" s="141"/>
      <c r="L39" s="160"/>
      <c r="M39" s="161"/>
      <c r="N39" s="161"/>
      <c r="O39" s="870" t="s">
        <v>87</v>
      </c>
      <c r="P39" s="871"/>
      <c r="Q39" s="871"/>
      <c r="R39" s="871"/>
      <c r="S39" s="871"/>
      <c r="T39" s="871"/>
      <c r="U39" s="872"/>
      <c r="V39" s="141"/>
    </row>
    <row r="40" spans="1:22" s="69" customFormat="1" ht="18.75" x14ac:dyDescent="0.2">
      <c r="A40" s="162" t="str">
        <f>IF(Tableau!$M$21="","",Tableau!$M$21)</f>
        <v/>
      </c>
      <c r="C40" s="71"/>
      <c r="D40" s="164"/>
      <c r="E40" s="164"/>
      <c r="F40" s="164"/>
      <c r="G40" s="164"/>
      <c r="H40" s="164"/>
      <c r="I40" s="164"/>
      <c r="J40" s="164"/>
      <c r="K40" s="141"/>
      <c r="L40" s="162" t="str">
        <f>IF(Tableau!$M$25="","",Tableau!$M$25)</f>
        <v/>
      </c>
      <c r="N40" s="71"/>
      <c r="O40" s="164"/>
      <c r="P40" s="164"/>
      <c r="Q40" s="164"/>
      <c r="R40" s="164"/>
      <c r="S40" s="164"/>
      <c r="T40" s="164"/>
      <c r="U40" s="165"/>
      <c r="V40" s="141"/>
    </row>
    <row r="41" spans="1:22" s="69" customFormat="1" ht="20.100000000000001" customHeight="1" x14ac:dyDescent="0.2">
      <c r="A41" s="873" t="str">
        <f>IF(A40="","",VLOOKUP(A40,liste!$A$9:$G$145,2,FALSE))</f>
        <v/>
      </c>
      <c r="B41" s="874" t="e">
        <v>#N/A</v>
      </c>
      <c r="C41" s="874" t="e">
        <v>#N/A</v>
      </c>
      <c r="D41" s="163"/>
      <c r="E41" s="163"/>
      <c r="F41" s="163"/>
      <c r="G41" s="163"/>
      <c r="H41" s="163"/>
      <c r="I41" s="163"/>
      <c r="J41" s="163"/>
      <c r="K41" s="141"/>
      <c r="L41" s="873" t="str">
        <f>IF(L40="","",VLOOKUP(L40,liste!$A$9:$G$145,2,FALSE))</f>
        <v/>
      </c>
      <c r="M41" s="874" t="e">
        <v>#N/A</v>
      </c>
      <c r="N41" s="874" t="e">
        <v>#N/A</v>
      </c>
      <c r="O41" s="163"/>
      <c r="P41" s="163"/>
      <c r="Q41" s="163"/>
      <c r="R41" s="163"/>
      <c r="S41" s="163"/>
      <c r="T41" s="163"/>
      <c r="U41" s="141"/>
      <c r="V41" s="141"/>
    </row>
    <row r="42" spans="1:22" s="69" customFormat="1" ht="20.100000000000001" customHeight="1" x14ac:dyDescent="0.2">
      <c r="A42" s="154"/>
      <c r="B42" s="152"/>
      <c r="C42" s="166" t="str">
        <f>IF(A40="","",VLOOKUP(A40,liste!$A$9:$G$145,4,FALSE))</f>
        <v/>
      </c>
      <c r="D42" s="167"/>
      <c r="E42" s="167"/>
      <c r="F42" s="167"/>
      <c r="G42" s="167"/>
      <c r="H42" s="167"/>
      <c r="I42" s="167"/>
      <c r="J42" s="167"/>
      <c r="K42" s="141"/>
      <c r="L42" s="154"/>
      <c r="M42" s="152"/>
      <c r="N42" s="166" t="str">
        <f>IF(L40="","",VLOOKUP(L40,liste!$A$9:$G$145,4,FALSE))</f>
        <v/>
      </c>
      <c r="O42" s="167"/>
      <c r="P42" s="167"/>
      <c r="Q42" s="167"/>
      <c r="R42" s="167"/>
      <c r="S42" s="167"/>
      <c r="T42" s="167"/>
      <c r="U42" s="168"/>
      <c r="V42" s="141"/>
    </row>
    <row r="43" spans="1:22" s="69" customFormat="1" ht="15.75" x14ac:dyDescent="0.2">
      <c r="A43" s="188" t="str">
        <f>IF(A40="","",VLOOKUP(A40,liste!$A$9:$G$145,3,FALSE))</f>
        <v/>
      </c>
      <c r="B43" s="152"/>
      <c r="C43" s="152"/>
      <c r="D43" s="170"/>
      <c r="E43" s="170"/>
      <c r="F43" s="170"/>
      <c r="G43" s="170"/>
      <c r="H43" s="170"/>
      <c r="I43" s="171"/>
      <c r="J43" s="171"/>
      <c r="K43" s="141"/>
      <c r="L43" s="188" t="str">
        <f>IF(L40="","",VLOOKUP(L40,liste!$A$9:$G$145,3,FALSE))</f>
        <v/>
      </c>
      <c r="M43" s="152"/>
      <c r="N43" s="152"/>
      <c r="O43" s="170"/>
      <c r="P43" s="170"/>
      <c r="Q43" s="170"/>
      <c r="R43" s="170"/>
      <c r="S43" s="170"/>
      <c r="T43" s="171"/>
      <c r="U43" s="172"/>
      <c r="V43" s="141"/>
    </row>
    <row r="44" spans="1:22" s="69" customFormat="1" ht="12.75" x14ac:dyDescent="0.2">
      <c r="A44" s="141"/>
      <c r="B44" s="70" t="s">
        <v>9</v>
      </c>
      <c r="C44" s="71"/>
      <c r="D44" s="173"/>
      <c r="E44" s="173"/>
      <c r="F44" s="173"/>
      <c r="G44" s="173"/>
      <c r="H44" s="173"/>
      <c r="I44" s="174"/>
      <c r="J44" s="174"/>
      <c r="K44" s="141"/>
      <c r="L44" s="141"/>
      <c r="M44" s="70" t="s">
        <v>9</v>
      </c>
      <c r="N44" s="71"/>
      <c r="O44" s="173"/>
      <c r="P44" s="173"/>
      <c r="Q44" s="173"/>
      <c r="R44" s="173"/>
      <c r="S44" s="173"/>
      <c r="T44" s="174"/>
      <c r="U44" s="175"/>
      <c r="V44" s="141"/>
    </row>
    <row r="45" spans="1:22" s="69" customFormat="1" ht="18.75" x14ac:dyDescent="0.2">
      <c r="A45" s="162" t="str">
        <f>IF(Tableau!$M$23="","",Tableau!$M$23)</f>
        <v/>
      </c>
      <c r="B45" s="189"/>
      <c r="C45" s="71"/>
      <c r="D45" s="164"/>
      <c r="E45" s="164"/>
      <c r="F45" s="164"/>
      <c r="G45" s="164"/>
      <c r="H45" s="164"/>
      <c r="I45" s="164"/>
      <c r="J45" s="164"/>
      <c r="K45" s="141"/>
      <c r="L45" s="162" t="str">
        <f>IF(Tableau!$M$27="","",Tableau!$M$27)</f>
        <v/>
      </c>
      <c r="N45" s="71"/>
      <c r="O45" s="164"/>
      <c r="P45" s="164"/>
      <c r="Q45" s="164"/>
      <c r="R45" s="164"/>
      <c r="S45" s="164"/>
      <c r="T45" s="164"/>
      <c r="U45" s="165"/>
      <c r="V45" s="141"/>
    </row>
    <row r="46" spans="1:22" s="69" customFormat="1" ht="20.100000000000001" customHeight="1" x14ac:dyDescent="0.2">
      <c r="A46" s="873" t="str">
        <f>IF(A45="","",VLOOKUP(A45,liste!$A$9:$G$145,2,FALSE))</f>
        <v/>
      </c>
      <c r="B46" s="874" t="e">
        <v>#N/A</v>
      </c>
      <c r="C46" s="874" t="e">
        <v>#N/A</v>
      </c>
      <c r="D46" s="163"/>
      <c r="E46" s="163"/>
      <c r="F46" s="163"/>
      <c r="G46" s="163"/>
      <c r="H46" s="163"/>
      <c r="I46" s="163"/>
      <c r="J46" s="163"/>
      <c r="K46" s="141"/>
      <c r="L46" s="873" t="str">
        <f>IF(L45="","",VLOOKUP(L45,liste!$A$9:$G$145,2,FALSE))</f>
        <v/>
      </c>
      <c r="M46" s="874" t="e">
        <v>#N/A</v>
      </c>
      <c r="N46" s="874" t="e">
        <v>#N/A</v>
      </c>
      <c r="O46" s="163"/>
      <c r="P46" s="163"/>
      <c r="Q46" s="163"/>
      <c r="R46" s="163"/>
      <c r="S46" s="163"/>
      <c r="T46" s="163"/>
      <c r="U46" s="141"/>
      <c r="V46" s="141"/>
    </row>
    <row r="47" spans="1:22" s="69" customFormat="1" ht="20.100000000000001" customHeight="1" x14ac:dyDescent="0.2">
      <c r="A47" s="154"/>
      <c r="B47" s="152"/>
      <c r="C47" s="166" t="str">
        <f>IF(A45="","",VLOOKUP(A45,liste!$A$9:$G$145,4,FALSE))</f>
        <v/>
      </c>
      <c r="D47" s="167"/>
      <c r="E47" s="167"/>
      <c r="F47" s="167"/>
      <c r="G47" s="167"/>
      <c r="H47" s="167"/>
      <c r="I47" s="167"/>
      <c r="J47" s="167"/>
      <c r="K47" s="141"/>
      <c r="L47" s="154"/>
      <c r="M47" s="152"/>
      <c r="N47" s="166" t="str">
        <f>IF(L45="","",VLOOKUP(L45,liste!$A$9:$G$145,4,FALSE))</f>
        <v/>
      </c>
      <c r="O47" s="167"/>
      <c r="P47" s="167"/>
      <c r="Q47" s="167"/>
      <c r="R47" s="167"/>
      <c r="S47" s="167"/>
      <c r="T47" s="167"/>
      <c r="U47" s="168"/>
      <c r="V47" s="141"/>
    </row>
    <row r="48" spans="1:22" s="69" customFormat="1" ht="15.75" x14ac:dyDescent="0.2">
      <c r="A48" s="190" t="str">
        <f>IF(A45="","",VLOOKUP(A45,liste!$A$9:$G$145,3,FALSE))</f>
        <v/>
      </c>
      <c r="B48" s="152"/>
      <c r="C48" s="152"/>
      <c r="D48" s="170"/>
      <c r="E48" s="170"/>
      <c r="F48" s="170"/>
      <c r="G48" s="170"/>
      <c r="H48" s="170"/>
      <c r="I48" s="171"/>
      <c r="J48" s="171"/>
      <c r="K48" s="141"/>
      <c r="L48" s="188" t="str">
        <f>IF(L45="","",VLOOKUP(L45,liste!$A$9:$G$145,3,FALSE))</f>
        <v/>
      </c>
      <c r="M48" s="152"/>
      <c r="N48" s="152"/>
      <c r="O48" s="170"/>
      <c r="P48" s="170"/>
      <c r="Q48" s="170"/>
      <c r="R48" s="170"/>
      <c r="S48" s="170"/>
      <c r="T48" s="171"/>
      <c r="U48" s="172"/>
      <c r="V48" s="141"/>
    </row>
    <row r="49" spans="1:22" s="69" customFormat="1" ht="12.75" x14ac:dyDescent="0.2">
      <c r="A49" s="141"/>
      <c r="B49" s="71"/>
      <c r="C49" s="71"/>
      <c r="D49" s="173"/>
      <c r="E49" s="173"/>
      <c r="F49" s="173"/>
      <c r="G49" s="173"/>
      <c r="H49" s="173"/>
      <c r="I49" s="174"/>
      <c r="J49" s="174"/>
      <c r="K49" s="141"/>
      <c r="L49" s="141"/>
      <c r="M49" s="71"/>
      <c r="N49" s="71"/>
      <c r="O49" s="173"/>
      <c r="P49" s="173"/>
      <c r="Q49" s="173"/>
      <c r="R49" s="173"/>
      <c r="S49" s="173"/>
      <c r="T49" s="174"/>
      <c r="U49" s="175"/>
      <c r="V49" s="141"/>
    </row>
    <row r="50" spans="1:22" s="69" customFormat="1" ht="12.75" x14ac:dyDescent="0.2">
      <c r="A50" s="141"/>
      <c r="B50" s="71"/>
      <c r="C50" s="71"/>
      <c r="D50" s="71"/>
      <c r="E50" s="71"/>
      <c r="F50" s="71"/>
      <c r="G50" s="71"/>
      <c r="H50" s="71"/>
      <c r="I50" s="71"/>
      <c r="J50" s="143"/>
      <c r="K50" s="141"/>
      <c r="L50" s="141"/>
      <c r="M50" s="71"/>
      <c r="N50" s="71"/>
      <c r="O50" s="71"/>
      <c r="P50" s="71"/>
      <c r="Q50" s="71"/>
      <c r="R50" s="71"/>
      <c r="S50" s="71"/>
      <c r="T50" s="71"/>
      <c r="U50" s="71"/>
      <c r="V50" s="141"/>
    </row>
    <row r="51" spans="1:22" s="69" customFormat="1" ht="20.100000000000001" customHeight="1" x14ac:dyDescent="0.2">
      <c r="A51" s="863" t="s">
        <v>85</v>
      </c>
      <c r="B51" s="864"/>
      <c r="C51" s="864"/>
      <c r="D51" s="178" t="s">
        <v>72</v>
      </c>
      <c r="E51" s="178" t="s">
        <v>82</v>
      </c>
      <c r="F51" s="178" t="s">
        <v>83</v>
      </c>
      <c r="G51" s="71"/>
      <c r="H51" s="71"/>
      <c r="I51" s="71"/>
      <c r="J51" s="143"/>
      <c r="K51" s="141"/>
      <c r="L51" s="863" t="s">
        <v>85</v>
      </c>
      <c r="M51" s="864"/>
      <c r="N51" s="864"/>
      <c r="O51" s="178" t="s">
        <v>72</v>
      </c>
      <c r="P51" s="178" t="s">
        <v>82</v>
      </c>
      <c r="Q51" s="178" t="s">
        <v>83</v>
      </c>
      <c r="R51" s="71"/>
      <c r="S51" s="71"/>
      <c r="T51" s="71"/>
      <c r="U51" s="71"/>
      <c r="V51" s="141"/>
    </row>
    <row r="52" spans="1:22" s="69" customFormat="1" ht="20.100000000000001" customHeight="1" x14ac:dyDescent="0.2">
      <c r="A52" s="179" t="str">
        <f>A41</f>
        <v/>
      </c>
      <c r="B52" s="180"/>
      <c r="C52" s="181"/>
      <c r="D52" s="164"/>
      <c r="E52" s="164"/>
      <c r="F52" s="164"/>
      <c r="G52" s="71"/>
      <c r="H52" s="71"/>
      <c r="I52" s="71"/>
      <c r="J52" s="143"/>
      <c r="K52" s="141"/>
      <c r="L52" s="179" t="str">
        <f>L41</f>
        <v/>
      </c>
      <c r="M52" s="180"/>
      <c r="N52" s="181"/>
      <c r="O52" s="164"/>
      <c r="P52" s="164"/>
      <c r="Q52" s="164"/>
      <c r="R52" s="71"/>
      <c r="S52" s="71"/>
      <c r="T52" s="71"/>
      <c r="U52" s="71"/>
      <c r="V52" s="141"/>
    </row>
    <row r="53" spans="1:22" s="69" customFormat="1" ht="20.100000000000001" customHeight="1" x14ac:dyDescent="0.2">
      <c r="A53" s="168"/>
      <c r="B53" s="182"/>
      <c r="C53" s="183"/>
      <c r="D53" s="167"/>
      <c r="E53" s="167"/>
      <c r="F53" s="167"/>
      <c r="G53" s="71"/>
      <c r="H53" s="71"/>
      <c r="I53" s="71"/>
      <c r="J53" s="143"/>
      <c r="K53" s="141"/>
      <c r="L53" s="168"/>
      <c r="M53" s="182"/>
      <c r="N53" s="183"/>
      <c r="O53" s="167"/>
      <c r="P53" s="167"/>
      <c r="Q53" s="167"/>
      <c r="R53" s="71"/>
      <c r="S53" s="71"/>
      <c r="T53" s="71"/>
      <c r="U53" s="71"/>
      <c r="V53" s="141"/>
    </row>
    <row r="54" spans="1:22" s="69" customFormat="1" ht="20.100000000000001" customHeight="1" x14ac:dyDescent="0.2">
      <c r="A54" s="179" t="str">
        <f>A46</f>
        <v/>
      </c>
      <c r="B54" s="180"/>
      <c r="C54" s="181"/>
      <c r="D54" s="164"/>
      <c r="E54" s="164"/>
      <c r="F54" s="164"/>
      <c r="G54" s="71"/>
      <c r="H54" s="71"/>
      <c r="I54" s="71"/>
      <c r="J54" s="143"/>
      <c r="K54" s="141"/>
      <c r="L54" s="179" t="str">
        <f>L46</f>
        <v/>
      </c>
      <c r="M54" s="180"/>
      <c r="N54" s="181"/>
      <c r="O54" s="164"/>
      <c r="P54" s="164"/>
      <c r="Q54" s="164"/>
      <c r="R54" s="71"/>
      <c r="S54" s="71"/>
      <c r="T54" s="71"/>
      <c r="U54" s="71"/>
      <c r="V54" s="141"/>
    </row>
    <row r="55" spans="1:22" s="69" customFormat="1" ht="20.100000000000001" customHeight="1" x14ac:dyDescent="0.2">
      <c r="A55" s="168"/>
      <c r="B55" s="182"/>
      <c r="C55" s="183"/>
      <c r="D55" s="167"/>
      <c r="E55" s="167"/>
      <c r="F55" s="167"/>
      <c r="G55" s="71"/>
      <c r="H55" s="71"/>
      <c r="I55" s="71"/>
      <c r="J55" s="143"/>
      <c r="K55" s="141"/>
      <c r="L55" s="168"/>
      <c r="M55" s="182"/>
      <c r="N55" s="183"/>
      <c r="O55" s="167"/>
      <c r="P55" s="167"/>
      <c r="Q55" s="167"/>
      <c r="R55" s="71"/>
      <c r="S55" s="71"/>
      <c r="T55" s="71"/>
      <c r="U55" s="71"/>
      <c r="V55" s="141"/>
    </row>
    <row r="56" spans="1:22" s="69" customFormat="1" ht="12.75" x14ac:dyDescent="0.2">
      <c r="A56" s="184" t="s">
        <v>86</v>
      </c>
      <c r="B56" s="71"/>
      <c r="C56" s="71"/>
      <c r="D56" s="71"/>
      <c r="E56" s="71"/>
      <c r="F56" s="71"/>
      <c r="G56" s="71"/>
      <c r="H56" s="71"/>
      <c r="I56" s="71"/>
      <c r="J56" s="143"/>
      <c r="K56" s="141"/>
      <c r="L56" s="184" t="s">
        <v>86</v>
      </c>
      <c r="M56" s="71"/>
      <c r="N56" s="71"/>
      <c r="O56" s="71"/>
      <c r="P56" s="71"/>
      <c r="Q56" s="71"/>
      <c r="R56" s="71"/>
      <c r="S56" s="71"/>
      <c r="T56" s="71"/>
      <c r="U56" s="71"/>
      <c r="V56" s="141"/>
    </row>
    <row r="57" spans="1:22" s="69" customFormat="1" ht="12.75" x14ac:dyDescent="0.2">
      <c r="A57" s="141"/>
      <c r="B57" s="71"/>
      <c r="C57" s="71"/>
      <c r="D57" s="71"/>
      <c r="E57" s="71"/>
      <c r="F57" s="71"/>
      <c r="G57" s="71"/>
      <c r="H57" s="71"/>
      <c r="I57" s="71"/>
      <c r="J57" s="143"/>
      <c r="K57" s="141"/>
      <c r="L57" s="141"/>
      <c r="M57" s="71"/>
      <c r="N57" s="71"/>
      <c r="O57" s="71"/>
      <c r="P57" s="71"/>
      <c r="Q57" s="71"/>
      <c r="R57" s="71"/>
      <c r="S57" s="71"/>
      <c r="T57" s="71"/>
      <c r="U57" s="71"/>
      <c r="V57" s="141"/>
    </row>
    <row r="58" spans="1:22" s="69" customFormat="1" ht="12.75" x14ac:dyDescent="0.2">
      <c r="A58" s="185" t="s">
        <v>84</v>
      </c>
      <c r="B58" s="182"/>
      <c r="C58" s="182"/>
      <c r="D58" s="182"/>
      <c r="E58" s="182"/>
      <c r="F58" s="182"/>
      <c r="G58" s="182"/>
      <c r="H58" s="182"/>
      <c r="I58" s="182"/>
      <c r="J58" s="183"/>
      <c r="K58" s="141"/>
      <c r="L58" s="185" t="s">
        <v>84</v>
      </c>
      <c r="M58" s="182"/>
      <c r="N58" s="182"/>
      <c r="O58" s="182"/>
      <c r="P58" s="182"/>
      <c r="Q58" s="182"/>
      <c r="R58" s="182"/>
      <c r="S58" s="182"/>
      <c r="T58" s="182"/>
      <c r="U58" s="182"/>
      <c r="V58" s="141"/>
    </row>
    <row r="59" spans="1:22" s="69" customFormat="1" ht="15.75" customHeight="1" x14ac:dyDescent="0.2">
      <c r="A59" s="877" t="str">
        <f>liste!$A$4</f>
        <v>Circuit Décathlon</v>
      </c>
      <c r="B59" s="878"/>
      <c r="C59" s="878"/>
      <c r="D59" s="878"/>
      <c r="E59" s="878"/>
      <c r="F59" s="878"/>
      <c r="G59" s="878"/>
      <c r="H59" s="878"/>
      <c r="I59" s="878"/>
      <c r="J59" s="879"/>
      <c r="K59" s="141"/>
      <c r="L59" s="877" t="str">
        <f>$A$1</f>
        <v>Circuit Décathlon</v>
      </c>
      <c r="M59" s="878"/>
      <c r="N59" s="878"/>
      <c r="O59" s="878"/>
      <c r="P59" s="878"/>
      <c r="Q59" s="878"/>
      <c r="R59" s="878"/>
      <c r="S59" s="878"/>
      <c r="T59" s="878"/>
      <c r="U59" s="879"/>
      <c r="V59" s="141"/>
    </row>
    <row r="60" spans="1:22" s="69" customFormat="1" ht="15.75" x14ac:dyDescent="0.2">
      <c r="A60" s="141"/>
      <c r="B60" s="71"/>
      <c r="C60" s="71"/>
      <c r="D60" s="142" t="s">
        <v>78</v>
      </c>
      <c r="E60" s="191">
        <f>Rens!B21</f>
        <v>0</v>
      </c>
      <c r="F60" s="71"/>
      <c r="G60" s="71"/>
      <c r="H60" s="71"/>
      <c r="I60" s="71"/>
      <c r="J60" s="143"/>
      <c r="K60" s="141"/>
      <c r="L60" s="141"/>
      <c r="M60" s="71"/>
      <c r="N60" s="71"/>
      <c r="O60" s="142" t="s">
        <v>78</v>
      </c>
      <c r="P60" s="191">
        <f>Rens!B22</f>
        <v>0</v>
      </c>
      <c r="Q60" s="71"/>
      <c r="R60" s="71"/>
      <c r="S60" s="71"/>
      <c r="T60" s="71"/>
      <c r="U60" s="71"/>
      <c r="V60" s="141"/>
    </row>
    <row r="61" spans="1:22" s="69" customFormat="1" ht="18.75" x14ac:dyDescent="0.2">
      <c r="A61" s="144" t="s">
        <v>79</v>
      </c>
      <c r="B61" s="145" t="str">
        <f>liste!$A$6</f>
        <v>FEM</v>
      </c>
      <c r="C61" s="71"/>
      <c r="D61" s="71"/>
      <c r="E61" s="71"/>
      <c r="F61" s="71"/>
      <c r="G61" s="71"/>
      <c r="H61" s="71"/>
      <c r="I61" s="71"/>
      <c r="J61" s="143"/>
      <c r="K61" s="141"/>
      <c r="L61" s="144" t="s">
        <v>79</v>
      </c>
      <c r="M61" s="145" t="str">
        <f>$B$3</f>
        <v>FEM</v>
      </c>
      <c r="N61" s="71"/>
      <c r="O61" s="71"/>
      <c r="P61" s="71"/>
      <c r="Q61" s="71"/>
      <c r="R61" s="71"/>
      <c r="S61" s="71"/>
      <c r="T61" s="71"/>
      <c r="U61" s="71"/>
      <c r="V61" s="141"/>
    </row>
    <row r="62" spans="1:22" s="69" customFormat="1" ht="18.75" x14ac:dyDescent="0.2">
      <c r="A62" s="880" t="s">
        <v>156</v>
      </c>
      <c r="B62" s="876"/>
      <c r="C62" s="876"/>
      <c r="D62" s="876"/>
      <c r="E62" s="71"/>
      <c r="F62" s="71"/>
      <c r="G62" s="72" t="str">
        <f>Rens!A21</f>
        <v>K</v>
      </c>
      <c r="H62" s="71"/>
      <c r="I62" s="71"/>
      <c r="J62" s="143"/>
      <c r="K62" s="141"/>
      <c r="L62" s="880" t="str">
        <f>A62</f>
        <v>Places 9 à 16</v>
      </c>
      <c r="M62" s="876"/>
      <c r="N62" s="876"/>
      <c r="O62" s="876"/>
      <c r="P62" s="71"/>
      <c r="Q62" s="71"/>
      <c r="R62" s="72" t="str">
        <f>Rens!A22</f>
        <v>L</v>
      </c>
      <c r="S62" s="71"/>
      <c r="T62" s="71"/>
      <c r="U62" s="71"/>
      <c r="V62" s="141"/>
    </row>
    <row r="63" spans="1:22" s="155" customFormat="1" ht="18.75" x14ac:dyDescent="0.2">
      <c r="A63" s="154"/>
      <c r="B63" s="187" t="str">
        <f>IF(Tableau!R26="","",Tableau!R26)</f>
        <v/>
      </c>
      <c r="C63" s="152"/>
      <c r="D63" s="152"/>
      <c r="E63" s="73" t="s">
        <v>142</v>
      </c>
      <c r="F63" s="72">
        <f>Rens!C21</f>
        <v>0</v>
      </c>
      <c r="G63" s="152"/>
      <c r="H63" s="152"/>
      <c r="I63" s="152"/>
      <c r="J63" s="153"/>
      <c r="K63" s="154"/>
      <c r="L63" s="154"/>
      <c r="M63" s="187" t="str">
        <f>IF(Tableau!R22="","",Tableau!R22)</f>
        <v/>
      </c>
      <c r="N63" s="152"/>
      <c r="O63" s="152"/>
      <c r="P63" s="73" t="s">
        <v>142</v>
      </c>
      <c r="Q63" s="72">
        <f>Rens!C22</f>
        <v>0</v>
      </c>
      <c r="R63" s="152"/>
      <c r="S63" s="152"/>
      <c r="T63" s="152"/>
      <c r="U63" s="152"/>
      <c r="V63" s="154"/>
    </row>
    <row r="64" spans="1:22" s="69" customFormat="1" ht="15.75" x14ac:dyDescent="0.2">
      <c r="A64" s="192" t="s">
        <v>80</v>
      </c>
      <c r="B64" s="150" t="str">
        <f>IF(B63="","",VLOOKUP(B63,liste!$A$9:$G$145,2,FALSE))</f>
        <v/>
      </c>
      <c r="C64" s="193"/>
      <c r="D64" s="193"/>
      <c r="E64" s="193"/>
      <c r="F64" s="193"/>
      <c r="G64" s="193"/>
      <c r="H64" s="193"/>
      <c r="I64" s="71"/>
      <c r="J64" s="143"/>
      <c r="K64" s="141"/>
      <c r="L64" s="192" t="s">
        <v>80</v>
      </c>
      <c r="M64" s="150" t="str">
        <f>IF(M63="","",VLOOKUP(M63,liste!$A$9:$G$145,2,FALSE))</f>
        <v/>
      </c>
      <c r="N64" s="193"/>
      <c r="O64" s="193"/>
      <c r="P64" s="193"/>
      <c r="Q64" s="193"/>
      <c r="R64" s="193"/>
      <c r="S64" s="193"/>
      <c r="T64" s="71"/>
      <c r="U64" s="71"/>
      <c r="V64" s="141"/>
    </row>
    <row r="65" spans="1:22" s="69" customFormat="1" ht="20.100000000000001" customHeight="1" x14ac:dyDescent="0.2">
      <c r="A65" s="141"/>
      <c r="B65" s="71"/>
      <c r="C65" s="71"/>
      <c r="D65" s="865" t="s">
        <v>19</v>
      </c>
      <c r="E65" s="866"/>
      <c r="F65" s="866"/>
      <c r="G65" s="866"/>
      <c r="H65" s="866"/>
      <c r="I65" s="866"/>
      <c r="J65" s="867"/>
      <c r="K65" s="141"/>
      <c r="L65" s="156"/>
      <c r="M65" s="157"/>
      <c r="N65" s="157"/>
      <c r="O65" s="865" t="s">
        <v>19</v>
      </c>
      <c r="P65" s="866"/>
      <c r="Q65" s="866"/>
      <c r="R65" s="866"/>
      <c r="S65" s="866"/>
      <c r="T65" s="866"/>
      <c r="U65" s="867"/>
      <c r="V65" s="141"/>
    </row>
    <row r="66" spans="1:22" s="69" customFormat="1" ht="20.100000000000001" customHeight="1" x14ac:dyDescent="0.2">
      <c r="A66" s="868" t="s">
        <v>81</v>
      </c>
      <c r="B66" s="869"/>
      <c r="C66" s="869"/>
      <c r="D66" s="158">
        <v>1</v>
      </c>
      <c r="E66" s="158">
        <v>2</v>
      </c>
      <c r="F66" s="158">
        <v>3</v>
      </c>
      <c r="G66" s="158">
        <v>4</v>
      </c>
      <c r="H66" s="158">
        <v>5</v>
      </c>
      <c r="I66" s="158">
        <v>6</v>
      </c>
      <c r="J66" s="158">
        <v>7</v>
      </c>
      <c r="K66" s="141"/>
      <c r="L66" s="868" t="s">
        <v>81</v>
      </c>
      <c r="M66" s="869"/>
      <c r="N66" s="869"/>
      <c r="O66" s="158">
        <v>1</v>
      </c>
      <c r="P66" s="158">
        <v>2</v>
      </c>
      <c r="Q66" s="158">
        <v>3</v>
      </c>
      <c r="R66" s="158">
        <v>4</v>
      </c>
      <c r="S66" s="158">
        <v>5</v>
      </c>
      <c r="T66" s="158">
        <v>6</v>
      </c>
      <c r="U66" s="159">
        <v>7</v>
      </c>
      <c r="V66" s="141"/>
    </row>
    <row r="67" spans="1:22" s="69" customFormat="1" ht="20.100000000000001" customHeight="1" x14ac:dyDescent="0.2">
      <c r="A67" s="160"/>
      <c r="B67" s="161"/>
      <c r="C67" s="161"/>
      <c r="D67" s="870" t="s">
        <v>87</v>
      </c>
      <c r="E67" s="871"/>
      <c r="F67" s="871"/>
      <c r="G67" s="871"/>
      <c r="H67" s="871"/>
      <c r="I67" s="871"/>
      <c r="J67" s="872"/>
      <c r="K67" s="141"/>
      <c r="L67" s="160"/>
      <c r="M67" s="161"/>
      <c r="N67" s="161"/>
      <c r="O67" s="870" t="s">
        <v>87</v>
      </c>
      <c r="P67" s="871"/>
      <c r="Q67" s="871"/>
      <c r="R67" s="871"/>
      <c r="S67" s="871"/>
      <c r="T67" s="871"/>
      <c r="U67" s="872"/>
      <c r="V67" s="141"/>
    </row>
    <row r="68" spans="1:22" s="69" customFormat="1" ht="18.75" x14ac:dyDescent="0.2">
      <c r="A68" s="162" t="str">
        <f>IF(Tableau!$J$10="","",Tableau!$J$10)</f>
        <v/>
      </c>
      <c r="B68" s="71"/>
      <c r="C68" s="71"/>
      <c r="D68" s="163"/>
      <c r="E68" s="163"/>
      <c r="F68" s="163"/>
      <c r="G68" s="163"/>
      <c r="H68" s="163"/>
      <c r="I68" s="163"/>
      <c r="J68" s="163"/>
      <c r="K68" s="141"/>
      <c r="L68" s="162" t="str">
        <f>IF(Tableau!$J$16="","",Tableau!$J$16)</f>
        <v/>
      </c>
      <c r="M68" s="71"/>
      <c r="N68" s="71"/>
      <c r="O68" s="164"/>
      <c r="P68" s="164"/>
      <c r="Q68" s="164"/>
      <c r="R68" s="164"/>
      <c r="S68" s="164"/>
      <c r="T68" s="164"/>
      <c r="U68" s="165"/>
      <c r="V68" s="141"/>
    </row>
    <row r="69" spans="1:22" s="69" customFormat="1" ht="20.100000000000001" customHeight="1" x14ac:dyDescent="0.2">
      <c r="A69" s="873" t="str">
        <f>IF(A68="","",VLOOKUP(A68,liste!$A$9:$G$145,2,FALSE))</f>
        <v/>
      </c>
      <c r="B69" s="874" t="e">
        <v>#N/A</v>
      </c>
      <c r="C69" s="874" t="e">
        <v>#N/A</v>
      </c>
      <c r="D69" s="163"/>
      <c r="E69" s="163"/>
      <c r="F69" s="163"/>
      <c r="G69" s="163"/>
      <c r="H69" s="163"/>
      <c r="I69" s="163"/>
      <c r="J69" s="163"/>
      <c r="K69" s="141"/>
      <c r="L69" s="873" t="str">
        <f>IF(L68="","",VLOOKUP(L68,liste!$A$9:$G$145,2,FALSE))</f>
        <v/>
      </c>
      <c r="M69" s="874" t="e">
        <v>#N/A</v>
      </c>
      <c r="N69" s="874" t="e">
        <v>#N/A</v>
      </c>
      <c r="O69" s="163"/>
      <c r="P69" s="163"/>
      <c r="Q69" s="163"/>
      <c r="R69" s="163"/>
      <c r="S69" s="163"/>
      <c r="T69" s="163"/>
      <c r="U69" s="141"/>
      <c r="V69" s="141"/>
    </row>
    <row r="70" spans="1:22" s="69" customFormat="1" ht="20.100000000000001" customHeight="1" x14ac:dyDescent="0.2">
      <c r="A70" s="154"/>
      <c r="B70" s="152"/>
      <c r="C70" s="166" t="str">
        <f>IF(A68="","",VLOOKUP(A68,liste!$A$9:$G$145,4,FALSE))</f>
        <v/>
      </c>
      <c r="D70" s="167"/>
      <c r="E70" s="167"/>
      <c r="F70" s="167"/>
      <c r="G70" s="167"/>
      <c r="H70" s="167"/>
      <c r="I70" s="167"/>
      <c r="J70" s="167"/>
      <c r="K70" s="141"/>
      <c r="L70" s="154"/>
      <c r="M70" s="152"/>
      <c r="N70" s="166" t="str">
        <f>IF(L68="","",VLOOKUP(L68,liste!$A$9:$G$145,4,FALSE))</f>
        <v/>
      </c>
      <c r="O70" s="167"/>
      <c r="P70" s="167"/>
      <c r="Q70" s="167"/>
      <c r="R70" s="167"/>
      <c r="S70" s="167"/>
      <c r="T70" s="167"/>
      <c r="U70" s="168"/>
      <c r="V70" s="141"/>
    </row>
    <row r="71" spans="1:22" s="69" customFormat="1" ht="15.75" x14ac:dyDescent="0.2">
      <c r="A71" s="169" t="str">
        <f>IF(A68="","",VLOOKUP(A68,liste!$A$9:$G$145,3,FALSE))</f>
        <v/>
      </c>
      <c r="B71" s="152"/>
      <c r="C71" s="152"/>
      <c r="D71" s="170"/>
      <c r="E71" s="170"/>
      <c r="F71" s="170"/>
      <c r="G71" s="170"/>
      <c r="H71" s="170"/>
      <c r="I71" s="171"/>
      <c r="J71" s="171"/>
      <c r="K71" s="141"/>
      <c r="L71" s="169" t="str">
        <f>IF(L68="","",VLOOKUP(L68,liste!$A$9:$G$145,3,FALSE))</f>
        <v/>
      </c>
      <c r="M71" s="152"/>
      <c r="N71" s="152"/>
      <c r="O71" s="170"/>
      <c r="P71" s="170"/>
      <c r="Q71" s="170"/>
      <c r="R71" s="170"/>
      <c r="S71" s="170"/>
      <c r="T71" s="171"/>
      <c r="U71" s="172"/>
      <c r="V71" s="141"/>
    </row>
    <row r="72" spans="1:22" s="69" customFormat="1" ht="12.75" x14ac:dyDescent="0.2">
      <c r="A72" s="141"/>
      <c r="B72" s="70" t="s">
        <v>9</v>
      </c>
      <c r="C72" s="71"/>
      <c r="D72" s="173"/>
      <c r="E72" s="173"/>
      <c r="F72" s="173"/>
      <c r="G72" s="173"/>
      <c r="H72" s="173"/>
      <c r="I72" s="174"/>
      <c r="J72" s="174"/>
      <c r="K72" s="141"/>
      <c r="L72" s="141"/>
      <c r="M72" s="70" t="s">
        <v>9</v>
      </c>
      <c r="N72" s="71"/>
      <c r="O72" s="173"/>
      <c r="P72" s="173"/>
      <c r="Q72" s="173"/>
      <c r="R72" s="173"/>
      <c r="S72" s="173"/>
      <c r="T72" s="174"/>
      <c r="U72" s="175"/>
      <c r="V72" s="141"/>
    </row>
    <row r="73" spans="1:22" s="69" customFormat="1" ht="18.75" x14ac:dyDescent="0.2">
      <c r="A73" s="162" t="str">
        <f>IF(Tableau!$J$12="","",Tableau!$J$12)</f>
        <v/>
      </c>
      <c r="B73" s="71"/>
      <c r="C73" s="71"/>
      <c r="D73" s="164"/>
      <c r="E73" s="164"/>
      <c r="F73" s="164"/>
      <c r="G73" s="164"/>
      <c r="H73" s="164"/>
      <c r="I73" s="164"/>
      <c r="J73" s="164"/>
      <c r="K73" s="141"/>
      <c r="L73" s="162" t="str">
        <f>IF(Tableau!$J$18="","",Tableau!$J$18)</f>
        <v/>
      </c>
      <c r="M73" s="71"/>
      <c r="N73" s="71"/>
      <c r="O73" s="164"/>
      <c r="P73" s="164"/>
      <c r="Q73" s="164"/>
      <c r="R73" s="164"/>
      <c r="S73" s="164"/>
      <c r="T73" s="164"/>
      <c r="U73" s="165"/>
      <c r="V73" s="141"/>
    </row>
    <row r="74" spans="1:22" s="69" customFormat="1" ht="20.100000000000001" customHeight="1" x14ac:dyDescent="0.2">
      <c r="A74" s="873" t="str">
        <f>IF(A73="","",VLOOKUP(A73,liste!$A$9:$G$145,2,FALSE))</f>
        <v/>
      </c>
      <c r="B74" s="874" t="e">
        <v>#N/A</v>
      </c>
      <c r="C74" s="874" t="e">
        <v>#N/A</v>
      </c>
      <c r="D74" s="163"/>
      <c r="E74" s="163"/>
      <c r="F74" s="163"/>
      <c r="G74" s="163"/>
      <c r="H74" s="163"/>
      <c r="I74" s="163"/>
      <c r="J74" s="163"/>
      <c r="K74" s="141"/>
      <c r="L74" s="873" t="str">
        <f>IF(L73="","",VLOOKUP(L73,liste!$A$9:$G$145,2,FALSE))</f>
        <v/>
      </c>
      <c r="M74" s="874" t="e">
        <v>#N/A</v>
      </c>
      <c r="N74" s="874" t="e">
        <v>#N/A</v>
      </c>
      <c r="O74" s="163"/>
      <c r="P74" s="163"/>
      <c r="Q74" s="163"/>
      <c r="R74" s="163"/>
      <c r="S74" s="163"/>
      <c r="T74" s="163"/>
      <c r="U74" s="141"/>
      <c r="V74" s="141"/>
    </row>
    <row r="75" spans="1:22" s="69" customFormat="1" ht="20.100000000000001" customHeight="1" x14ac:dyDescent="0.2">
      <c r="A75" s="154"/>
      <c r="B75" s="152"/>
      <c r="C75" s="166" t="str">
        <f>IF(A73="","",VLOOKUP(A73,liste!$A$9:$G$145,4,FALSE))</f>
        <v/>
      </c>
      <c r="D75" s="167"/>
      <c r="E75" s="167"/>
      <c r="F75" s="167"/>
      <c r="G75" s="167"/>
      <c r="H75" s="167"/>
      <c r="I75" s="167"/>
      <c r="J75" s="167"/>
      <c r="K75" s="141"/>
      <c r="L75" s="154"/>
      <c r="M75" s="152"/>
      <c r="N75" s="166" t="str">
        <f>IF(L73="","",VLOOKUP(L73,liste!$A$9:$G$145,4,FALSE))</f>
        <v/>
      </c>
      <c r="O75" s="167"/>
      <c r="P75" s="167"/>
      <c r="Q75" s="167"/>
      <c r="R75" s="167"/>
      <c r="S75" s="167"/>
      <c r="T75" s="167"/>
      <c r="U75" s="168"/>
      <c r="V75" s="141"/>
    </row>
    <row r="76" spans="1:22" s="69" customFormat="1" ht="15.75" x14ac:dyDescent="0.2">
      <c r="A76" s="169" t="str">
        <f>IF(A73="","",VLOOKUP(A73,liste!$A$9:$G$145,3,FALSE))</f>
        <v/>
      </c>
      <c r="B76" s="152"/>
      <c r="C76" s="152"/>
      <c r="D76" s="170"/>
      <c r="E76" s="170"/>
      <c r="F76" s="170"/>
      <c r="G76" s="170"/>
      <c r="H76" s="170"/>
      <c r="I76" s="171"/>
      <c r="J76" s="171"/>
      <c r="K76" s="141"/>
      <c r="L76" s="169" t="str">
        <f>IF(L73="","",VLOOKUP(L73,liste!$A$9:$G$145,3,FALSE))</f>
        <v/>
      </c>
      <c r="M76" s="152"/>
      <c r="N76" s="152"/>
      <c r="O76" s="170"/>
      <c r="P76" s="170"/>
      <c r="Q76" s="170"/>
      <c r="R76" s="170"/>
      <c r="S76" s="170"/>
      <c r="T76" s="171"/>
      <c r="U76" s="172"/>
      <c r="V76" s="141"/>
    </row>
    <row r="77" spans="1:22" s="69" customFormat="1" ht="12.75" x14ac:dyDescent="0.2">
      <c r="A77" s="141"/>
      <c r="B77" s="71"/>
      <c r="C77" s="71"/>
      <c r="D77" s="173"/>
      <c r="E77" s="173"/>
      <c r="F77" s="173"/>
      <c r="G77" s="173"/>
      <c r="H77" s="173"/>
      <c r="I77" s="174"/>
      <c r="J77" s="174"/>
      <c r="K77" s="141"/>
      <c r="L77" s="141"/>
      <c r="M77" s="71"/>
      <c r="N77" s="71"/>
      <c r="O77" s="173"/>
      <c r="P77" s="173"/>
      <c r="Q77" s="173"/>
      <c r="R77" s="173"/>
      <c r="S77" s="173"/>
      <c r="T77" s="174"/>
      <c r="U77" s="175"/>
      <c r="V77" s="141"/>
    </row>
    <row r="78" spans="1:22" s="69" customFormat="1" ht="12.75" x14ac:dyDescent="0.2">
      <c r="A78" s="141"/>
      <c r="B78" s="71"/>
      <c r="C78" s="71"/>
      <c r="D78" s="71"/>
      <c r="E78" s="71"/>
      <c r="F78" s="71"/>
      <c r="G78" s="71"/>
      <c r="H78" s="71"/>
      <c r="I78" s="71"/>
      <c r="J78" s="143"/>
      <c r="K78" s="141"/>
      <c r="L78" s="141"/>
      <c r="M78" s="71"/>
      <c r="N78" s="71"/>
      <c r="O78" s="71"/>
      <c r="P78" s="71"/>
      <c r="Q78" s="71"/>
      <c r="R78" s="71"/>
      <c r="S78" s="71"/>
      <c r="T78" s="71"/>
      <c r="U78" s="71"/>
      <c r="V78" s="141"/>
    </row>
    <row r="79" spans="1:22" s="69" customFormat="1" ht="20.100000000000001" customHeight="1" x14ac:dyDescent="0.2">
      <c r="A79" s="863" t="s">
        <v>85</v>
      </c>
      <c r="B79" s="864"/>
      <c r="C79" s="864"/>
      <c r="D79" s="178" t="s">
        <v>72</v>
      </c>
      <c r="E79" s="178" t="s">
        <v>82</v>
      </c>
      <c r="F79" s="178" t="s">
        <v>83</v>
      </c>
      <c r="G79" s="71"/>
      <c r="H79" s="71"/>
      <c r="I79" s="71"/>
      <c r="J79" s="143"/>
      <c r="K79" s="141"/>
      <c r="L79" s="863" t="s">
        <v>85</v>
      </c>
      <c r="M79" s="864"/>
      <c r="N79" s="864"/>
      <c r="O79" s="178" t="s">
        <v>72</v>
      </c>
      <c r="P79" s="178" t="s">
        <v>82</v>
      </c>
      <c r="Q79" s="178" t="s">
        <v>83</v>
      </c>
      <c r="R79" s="71"/>
      <c r="S79" s="71"/>
      <c r="T79" s="71"/>
      <c r="U79" s="71"/>
      <c r="V79" s="141"/>
    </row>
    <row r="80" spans="1:22" s="69" customFormat="1" ht="20.100000000000001" customHeight="1" x14ac:dyDescent="0.2">
      <c r="A80" s="179" t="str">
        <f>A69</f>
        <v/>
      </c>
      <c r="B80" s="180"/>
      <c r="C80" s="181"/>
      <c r="D80" s="164"/>
      <c r="E80" s="164"/>
      <c r="F80" s="164"/>
      <c r="G80" s="71"/>
      <c r="H80" s="71"/>
      <c r="I80" s="71"/>
      <c r="J80" s="143"/>
      <c r="K80" s="141"/>
      <c r="L80" s="179" t="str">
        <f>L69</f>
        <v/>
      </c>
      <c r="M80" s="180"/>
      <c r="N80" s="181"/>
      <c r="O80" s="164"/>
      <c r="P80" s="164"/>
      <c r="Q80" s="164"/>
      <c r="R80" s="71"/>
      <c r="S80" s="71"/>
      <c r="T80" s="71"/>
      <c r="U80" s="71"/>
      <c r="V80" s="141"/>
    </row>
    <row r="81" spans="1:22" s="69" customFormat="1" ht="20.100000000000001" customHeight="1" x14ac:dyDescent="0.2">
      <c r="A81" s="168"/>
      <c r="B81" s="182"/>
      <c r="C81" s="183"/>
      <c r="D81" s="167"/>
      <c r="E81" s="167"/>
      <c r="F81" s="167"/>
      <c r="G81" s="71"/>
      <c r="H81" s="71"/>
      <c r="I81" s="71"/>
      <c r="J81" s="143"/>
      <c r="K81" s="141"/>
      <c r="L81" s="168"/>
      <c r="M81" s="182"/>
      <c r="N81" s="183"/>
      <c r="O81" s="167"/>
      <c r="P81" s="167"/>
      <c r="Q81" s="167"/>
      <c r="R81" s="71"/>
      <c r="S81" s="71"/>
      <c r="T81" s="71"/>
      <c r="U81" s="71"/>
      <c r="V81" s="141"/>
    </row>
    <row r="82" spans="1:22" s="69" customFormat="1" ht="20.100000000000001" customHeight="1" x14ac:dyDescent="0.2">
      <c r="A82" s="179" t="str">
        <f>A74</f>
        <v/>
      </c>
      <c r="B82" s="180"/>
      <c r="C82" s="181"/>
      <c r="D82" s="164"/>
      <c r="E82" s="164"/>
      <c r="F82" s="164"/>
      <c r="G82" s="71"/>
      <c r="H82" s="71"/>
      <c r="I82" s="71"/>
      <c r="J82" s="143"/>
      <c r="K82" s="141"/>
      <c r="L82" s="179" t="str">
        <f>L74</f>
        <v/>
      </c>
      <c r="M82" s="180"/>
      <c r="N82" s="181"/>
      <c r="O82" s="164"/>
      <c r="P82" s="164"/>
      <c r="Q82" s="164"/>
      <c r="R82" s="71"/>
      <c r="S82" s="71"/>
      <c r="T82" s="71"/>
      <c r="U82" s="71"/>
      <c r="V82" s="141"/>
    </row>
    <row r="83" spans="1:22" s="69" customFormat="1" ht="20.100000000000001" customHeight="1" x14ac:dyDescent="0.2">
      <c r="A83" s="168"/>
      <c r="B83" s="182"/>
      <c r="C83" s="183"/>
      <c r="D83" s="167"/>
      <c r="E83" s="167"/>
      <c r="F83" s="167"/>
      <c r="G83" s="71"/>
      <c r="H83" s="71"/>
      <c r="I83" s="71"/>
      <c r="J83" s="143"/>
      <c r="K83" s="141"/>
      <c r="L83" s="168"/>
      <c r="M83" s="182"/>
      <c r="N83" s="183"/>
      <c r="O83" s="167"/>
      <c r="P83" s="167"/>
      <c r="Q83" s="167"/>
      <c r="R83" s="71"/>
      <c r="S83" s="71"/>
      <c r="T83" s="71"/>
      <c r="U83" s="71"/>
      <c r="V83" s="141"/>
    </row>
    <row r="84" spans="1:22" s="69" customFormat="1" ht="12.75" x14ac:dyDescent="0.2">
      <c r="A84" s="184" t="s">
        <v>86</v>
      </c>
      <c r="B84" s="71"/>
      <c r="C84" s="71"/>
      <c r="D84" s="71"/>
      <c r="E84" s="71"/>
      <c r="F84" s="71"/>
      <c r="G84" s="71"/>
      <c r="H84" s="71"/>
      <c r="I84" s="71"/>
      <c r="J84" s="143"/>
      <c r="K84" s="141"/>
      <c r="L84" s="184" t="s">
        <v>86</v>
      </c>
      <c r="M84" s="71"/>
      <c r="N84" s="71"/>
      <c r="O84" s="71"/>
      <c r="P84" s="71"/>
      <c r="Q84" s="71"/>
      <c r="R84" s="71"/>
      <c r="S84" s="71"/>
      <c r="T84" s="71"/>
      <c r="U84" s="71"/>
      <c r="V84" s="141"/>
    </row>
    <row r="85" spans="1:22" s="69" customFormat="1" ht="12.75" x14ac:dyDescent="0.2">
      <c r="A85" s="141"/>
      <c r="B85" s="71"/>
      <c r="C85" s="71"/>
      <c r="D85" s="71"/>
      <c r="E85" s="71"/>
      <c r="F85" s="71"/>
      <c r="G85" s="71"/>
      <c r="H85" s="71"/>
      <c r="I85" s="71"/>
      <c r="J85" s="143"/>
      <c r="K85" s="141"/>
      <c r="L85" s="141"/>
      <c r="M85" s="71"/>
      <c r="N85" s="71"/>
      <c r="O85" s="71"/>
      <c r="P85" s="71"/>
      <c r="Q85" s="71"/>
      <c r="R85" s="71"/>
      <c r="S85" s="71"/>
      <c r="T85" s="71"/>
      <c r="U85" s="71"/>
      <c r="V85" s="141"/>
    </row>
    <row r="86" spans="1:22" s="69" customFormat="1" ht="12.75" x14ac:dyDescent="0.2">
      <c r="A86" s="185" t="s">
        <v>84</v>
      </c>
      <c r="B86" s="182"/>
      <c r="C86" s="182"/>
      <c r="D86" s="182"/>
      <c r="E86" s="182"/>
      <c r="F86" s="182"/>
      <c r="G86" s="182"/>
      <c r="H86" s="182"/>
      <c r="I86" s="182"/>
      <c r="J86" s="183"/>
      <c r="K86" s="141"/>
      <c r="L86" s="185" t="s">
        <v>84</v>
      </c>
      <c r="M86" s="182"/>
      <c r="N86" s="182"/>
      <c r="O86" s="182"/>
      <c r="P86" s="182"/>
      <c r="Q86" s="182"/>
      <c r="R86" s="182"/>
      <c r="S86" s="182"/>
      <c r="T86" s="182"/>
      <c r="U86" s="182"/>
      <c r="V86" s="141"/>
    </row>
    <row r="87" spans="1:22" s="69" customFormat="1" ht="50.1" customHeight="1" x14ac:dyDescent="0.2">
      <c r="V87" s="71"/>
    </row>
    <row r="88" spans="1:22" s="69" customFormat="1" ht="50.1" customHeight="1" x14ac:dyDescent="0.2">
      <c r="V88" s="71"/>
    </row>
    <row r="89" spans="1:22" s="69" customFormat="1" ht="20.100000000000001" customHeight="1" x14ac:dyDescent="0.2">
      <c r="A89" s="877" t="str">
        <f>$A$1</f>
        <v>Circuit Décathlon</v>
      </c>
      <c r="B89" s="878"/>
      <c r="C89" s="878"/>
      <c r="D89" s="878"/>
      <c r="E89" s="878"/>
      <c r="F89" s="878"/>
      <c r="G89" s="878"/>
      <c r="H89" s="878"/>
      <c r="I89" s="878"/>
      <c r="J89" s="879"/>
      <c r="K89" s="141"/>
      <c r="L89" s="877" t="str">
        <f>$A$1</f>
        <v>Circuit Décathlon</v>
      </c>
      <c r="M89" s="878"/>
      <c r="N89" s="878"/>
      <c r="O89" s="878"/>
      <c r="P89" s="878"/>
      <c r="Q89" s="878"/>
      <c r="R89" s="878"/>
      <c r="S89" s="878"/>
      <c r="T89" s="878"/>
      <c r="U89" s="879"/>
      <c r="V89" s="141"/>
    </row>
    <row r="90" spans="1:22" s="69" customFormat="1" ht="15.75" x14ac:dyDescent="0.2">
      <c r="A90" s="141"/>
      <c r="B90" s="71"/>
      <c r="C90" s="71"/>
      <c r="D90" s="142" t="s">
        <v>78</v>
      </c>
      <c r="E90" s="191">
        <f>Rens!B23</f>
        <v>0</v>
      </c>
      <c r="F90" s="71"/>
      <c r="G90" s="71"/>
      <c r="H90" s="71"/>
      <c r="I90" s="71"/>
      <c r="J90" s="143"/>
      <c r="K90" s="141"/>
      <c r="L90" s="141"/>
      <c r="M90" s="71"/>
      <c r="N90" s="71"/>
      <c r="O90" s="142" t="s">
        <v>78</v>
      </c>
      <c r="P90" s="191">
        <f>Rens!B24</f>
        <v>0</v>
      </c>
      <c r="Q90" s="71"/>
      <c r="R90" s="71"/>
      <c r="S90" s="71"/>
      <c r="T90" s="71"/>
      <c r="U90" s="71"/>
      <c r="V90" s="141"/>
    </row>
    <row r="91" spans="1:22" s="69" customFormat="1" ht="18.75" x14ac:dyDescent="0.2">
      <c r="A91" s="144" t="s">
        <v>79</v>
      </c>
      <c r="B91" s="145" t="str">
        <f>$B$3</f>
        <v>FEM</v>
      </c>
      <c r="C91" s="71"/>
      <c r="D91" s="71"/>
      <c r="E91" s="71"/>
      <c r="F91" s="71"/>
      <c r="G91" s="71"/>
      <c r="H91" s="71"/>
      <c r="I91" s="71"/>
      <c r="J91" s="143"/>
      <c r="K91" s="141"/>
      <c r="L91" s="144" t="s">
        <v>79</v>
      </c>
      <c r="M91" s="145" t="str">
        <f>$B$3</f>
        <v>FEM</v>
      </c>
      <c r="N91" s="71"/>
      <c r="O91" s="71"/>
      <c r="P91" s="71"/>
      <c r="Q91" s="71"/>
      <c r="R91" s="71"/>
      <c r="S91" s="71"/>
      <c r="T91" s="71"/>
      <c r="U91" s="71"/>
      <c r="V91" s="141"/>
    </row>
    <row r="92" spans="1:22" s="69" customFormat="1" ht="18.75" x14ac:dyDescent="0.2">
      <c r="A92" s="880" t="str">
        <f>A62</f>
        <v>Places 9 à 16</v>
      </c>
      <c r="B92" s="876"/>
      <c r="C92" s="876"/>
      <c r="D92" s="876"/>
      <c r="E92" s="71"/>
      <c r="F92" s="71"/>
      <c r="G92" s="72" t="str">
        <f>Rens!A23</f>
        <v>M</v>
      </c>
      <c r="H92" s="71"/>
      <c r="I92" s="71"/>
      <c r="J92" s="143"/>
      <c r="K92" s="141"/>
      <c r="L92" s="880" t="str">
        <f>A92</f>
        <v>Places 9 à 16</v>
      </c>
      <c r="M92" s="876"/>
      <c r="N92" s="876"/>
      <c r="O92" s="876"/>
      <c r="P92" s="71"/>
      <c r="Q92" s="71"/>
      <c r="R92" s="72" t="str">
        <f>Rens!A24</f>
        <v>N</v>
      </c>
      <c r="S92" s="71"/>
      <c r="T92" s="71"/>
      <c r="U92" s="71"/>
      <c r="V92" s="141"/>
    </row>
    <row r="93" spans="1:22" s="155" customFormat="1" ht="18.75" x14ac:dyDescent="0.2">
      <c r="A93" s="154"/>
      <c r="B93" s="187" t="str">
        <f>IF(Tableau!R16="","",Tableau!R16)</f>
        <v/>
      </c>
      <c r="C93" s="152"/>
      <c r="D93" s="152"/>
      <c r="E93" s="73" t="s">
        <v>142</v>
      </c>
      <c r="F93" s="72">
        <f>Rens!C23</f>
        <v>0</v>
      </c>
      <c r="G93" s="152"/>
      <c r="H93" s="152"/>
      <c r="I93" s="152"/>
      <c r="J93" s="153"/>
      <c r="K93" s="154"/>
      <c r="L93" s="154"/>
      <c r="M93" s="187" t="str">
        <f>IF(Tableau!R12="","",Tableau!R12)</f>
        <v/>
      </c>
      <c r="N93" s="152"/>
      <c r="O93" s="152"/>
      <c r="P93" s="73" t="s">
        <v>142</v>
      </c>
      <c r="Q93" s="72">
        <f>Rens!C24</f>
        <v>0</v>
      </c>
      <c r="R93" s="152"/>
      <c r="S93" s="152"/>
      <c r="T93" s="152"/>
      <c r="U93" s="152"/>
      <c r="V93" s="154"/>
    </row>
    <row r="94" spans="1:22" s="69" customFormat="1" ht="15.75" x14ac:dyDescent="0.2">
      <c r="A94" s="192" t="s">
        <v>80</v>
      </c>
      <c r="B94" s="150" t="str">
        <f>IF(B93="","",VLOOKUP(B93,liste!$A$9:$G$145,2,FALSE))</f>
        <v/>
      </c>
      <c r="C94" s="193"/>
      <c r="D94" s="193"/>
      <c r="E94" s="193"/>
      <c r="F94" s="193"/>
      <c r="G94" s="193"/>
      <c r="H94" s="193"/>
      <c r="I94" s="71"/>
      <c r="J94" s="143"/>
      <c r="K94" s="141"/>
      <c r="L94" s="192" t="s">
        <v>80</v>
      </c>
      <c r="M94" s="150" t="str">
        <f>IF(M93="","",VLOOKUP(M93,liste!$A$9:$G$145,2,FALSE))</f>
        <v/>
      </c>
      <c r="N94" s="193"/>
      <c r="O94" s="193"/>
      <c r="P94" s="193"/>
      <c r="Q94" s="193"/>
      <c r="R94" s="193"/>
      <c r="S94" s="193"/>
      <c r="T94" s="71"/>
      <c r="U94" s="71"/>
      <c r="V94" s="141"/>
    </row>
    <row r="95" spans="1:22" s="69" customFormat="1" ht="20.100000000000001" customHeight="1" x14ac:dyDescent="0.2">
      <c r="A95" s="141"/>
      <c r="D95" s="865" t="s">
        <v>19</v>
      </c>
      <c r="E95" s="866"/>
      <c r="F95" s="866"/>
      <c r="G95" s="866"/>
      <c r="H95" s="866"/>
      <c r="I95" s="866"/>
      <c r="J95" s="867"/>
      <c r="K95" s="141"/>
      <c r="L95" s="156"/>
      <c r="M95" s="157"/>
      <c r="N95" s="157"/>
      <c r="O95" s="865" t="s">
        <v>19</v>
      </c>
      <c r="P95" s="866"/>
      <c r="Q95" s="866"/>
      <c r="R95" s="866"/>
      <c r="S95" s="866"/>
      <c r="T95" s="866"/>
      <c r="U95" s="867"/>
      <c r="V95" s="141"/>
    </row>
    <row r="96" spans="1:22" s="69" customFormat="1" ht="20.100000000000001" customHeight="1" x14ac:dyDescent="0.2">
      <c r="A96" s="868" t="s">
        <v>81</v>
      </c>
      <c r="B96" s="869"/>
      <c r="C96" s="869"/>
      <c r="D96" s="158">
        <v>1</v>
      </c>
      <c r="E96" s="158">
        <v>2</v>
      </c>
      <c r="F96" s="158">
        <v>3</v>
      </c>
      <c r="G96" s="158">
        <v>4</v>
      </c>
      <c r="H96" s="158">
        <v>5</v>
      </c>
      <c r="I96" s="158">
        <v>6</v>
      </c>
      <c r="J96" s="158">
        <v>7</v>
      </c>
      <c r="K96" s="141"/>
      <c r="L96" s="868" t="s">
        <v>81</v>
      </c>
      <c r="M96" s="869"/>
      <c r="N96" s="869"/>
      <c r="O96" s="158">
        <v>1</v>
      </c>
      <c r="P96" s="158">
        <v>2</v>
      </c>
      <c r="Q96" s="158">
        <v>3</v>
      </c>
      <c r="R96" s="158">
        <v>4</v>
      </c>
      <c r="S96" s="158">
        <v>5</v>
      </c>
      <c r="T96" s="158">
        <v>6</v>
      </c>
      <c r="U96" s="159">
        <v>7</v>
      </c>
      <c r="V96" s="141"/>
    </row>
    <row r="97" spans="1:22" s="69" customFormat="1" ht="20.100000000000001" customHeight="1" x14ac:dyDescent="0.2">
      <c r="A97" s="160"/>
      <c r="B97" s="161"/>
      <c r="C97" s="161"/>
      <c r="D97" s="870" t="s">
        <v>87</v>
      </c>
      <c r="E97" s="871"/>
      <c r="F97" s="871"/>
      <c r="G97" s="871"/>
      <c r="H97" s="871"/>
      <c r="I97" s="871"/>
      <c r="J97" s="872"/>
      <c r="K97" s="141"/>
      <c r="L97" s="160"/>
      <c r="M97" s="161"/>
      <c r="N97" s="161"/>
      <c r="O97" s="870" t="s">
        <v>87</v>
      </c>
      <c r="P97" s="871"/>
      <c r="Q97" s="871"/>
      <c r="R97" s="871"/>
      <c r="S97" s="871"/>
      <c r="T97" s="871"/>
      <c r="U97" s="872"/>
      <c r="V97" s="141"/>
    </row>
    <row r="98" spans="1:22" s="69" customFormat="1" ht="18.75" x14ac:dyDescent="0.2">
      <c r="A98" s="162" t="str">
        <f>IF(Tableau!$J$20="","",Tableau!$J$20)</f>
        <v/>
      </c>
      <c r="C98" s="71"/>
      <c r="D98" s="164"/>
      <c r="E98" s="164"/>
      <c r="F98" s="164"/>
      <c r="G98" s="164"/>
      <c r="H98" s="164"/>
      <c r="I98" s="164"/>
      <c r="J98" s="164"/>
      <c r="K98" s="141"/>
      <c r="L98" s="162" t="str">
        <f>IF(Tableau!$J$26="","",Tableau!$J$26)</f>
        <v/>
      </c>
      <c r="N98" s="71"/>
      <c r="O98" s="164"/>
      <c r="P98" s="164"/>
      <c r="Q98" s="164"/>
      <c r="R98" s="164"/>
      <c r="S98" s="164"/>
      <c r="T98" s="164"/>
      <c r="U98" s="165"/>
      <c r="V98" s="141"/>
    </row>
    <row r="99" spans="1:22" s="69" customFormat="1" ht="20.100000000000001" customHeight="1" x14ac:dyDescent="0.2">
      <c r="A99" s="873" t="str">
        <f>IF(A98="","",VLOOKUP(A98,liste!$A$9:$G$145,2,FALSE))</f>
        <v/>
      </c>
      <c r="B99" s="874" t="e">
        <v>#N/A</v>
      </c>
      <c r="C99" s="874" t="e">
        <v>#N/A</v>
      </c>
      <c r="D99" s="163"/>
      <c r="E99" s="163"/>
      <c r="F99" s="163"/>
      <c r="G99" s="163"/>
      <c r="H99" s="163"/>
      <c r="I99" s="163"/>
      <c r="J99" s="163"/>
      <c r="K99" s="141"/>
      <c r="L99" s="873" t="str">
        <f>IF(L98="","",VLOOKUP(L98,liste!$A$9:$G$145,2,FALSE))</f>
        <v/>
      </c>
      <c r="M99" s="874" t="e">
        <v>#N/A</v>
      </c>
      <c r="N99" s="874" t="e">
        <v>#N/A</v>
      </c>
      <c r="O99" s="163"/>
      <c r="P99" s="163"/>
      <c r="Q99" s="163"/>
      <c r="R99" s="163"/>
      <c r="S99" s="163"/>
      <c r="T99" s="163"/>
      <c r="U99" s="141"/>
      <c r="V99" s="141"/>
    </row>
    <row r="100" spans="1:22" s="69" customFormat="1" ht="20.100000000000001" customHeight="1" x14ac:dyDescent="0.2">
      <c r="A100" s="154"/>
      <c r="B100" s="152"/>
      <c r="C100" s="166" t="str">
        <f>IF(A98="","",VLOOKUP(A98,liste!$A$9:$G$145,4,FALSE))</f>
        <v/>
      </c>
      <c r="D100" s="167"/>
      <c r="E100" s="167"/>
      <c r="F100" s="167"/>
      <c r="G100" s="167"/>
      <c r="H100" s="167"/>
      <c r="I100" s="167"/>
      <c r="J100" s="167"/>
      <c r="K100" s="141"/>
      <c r="L100" s="154"/>
      <c r="M100" s="152"/>
      <c r="N100" s="166" t="str">
        <f>IF(L98="","",VLOOKUP(L98,liste!$A$9:$G$145,4,FALSE))</f>
        <v/>
      </c>
      <c r="O100" s="167"/>
      <c r="P100" s="167"/>
      <c r="Q100" s="167"/>
      <c r="R100" s="167"/>
      <c r="S100" s="167"/>
      <c r="T100" s="167"/>
      <c r="U100" s="168"/>
      <c r="V100" s="141"/>
    </row>
    <row r="101" spans="1:22" s="69" customFormat="1" ht="15.75" x14ac:dyDescent="0.2">
      <c r="A101" s="188" t="str">
        <f>IF(A98="","",VLOOKUP(A98,liste!$A$9:$G$145,3,FALSE))</f>
        <v/>
      </c>
      <c r="B101" s="152"/>
      <c r="C101" s="152"/>
      <c r="D101" s="170"/>
      <c r="E101" s="170"/>
      <c r="F101" s="170"/>
      <c r="G101" s="170"/>
      <c r="H101" s="170"/>
      <c r="I101" s="171"/>
      <c r="J101" s="171"/>
      <c r="K101" s="141"/>
      <c r="L101" s="188" t="str">
        <f>IF(L98="","",VLOOKUP(L98,liste!$A$9:$G$145,3,FALSE))</f>
        <v/>
      </c>
      <c r="M101" s="152"/>
      <c r="N101" s="152"/>
      <c r="O101" s="170"/>
      <c r="P101" s="170"/>
      <c r="Q101" s="170"/>
      <c r="R101" s="170"/>
      <c r="S101" s="170"/>
      <c r="T101" s="171"/>
      <c r="U101" s="172"/>
      <c r="V101" s="141"/>
    </row>
    <row r="102" spans="1:22" s="69" customFormat="1" ht="12.75" x14ac:dyDescent="0.2">
      <c r="A102" s="141"/>
      <c r="B102" s="70" t="s">
        <v>9</v>
      </c>
      <c r="C102" s="71"/>
      <c r="D102" s="173"/>
      <c r="E102" s="173"/>
      <c r="F102" s="173"/>
      <c r="G102" s="173"/>
      <c r="H102" s="173"/>
      <c r="I102" s="174"/>
      <c r="J102" s="174"/>
      <c r="K102" s="141"/>
      <c r="L102" s="141"/>
      <c r="M102" s="70" t="s">
        <v>9</v>
      </c>
      <c r="N102" s="71"/>
      <c r="O102" s="173"/>
      <c r="P102" s="173"/>
      <c r="Q102" s="173"/>
      <c r="R102" s="173"/>
      <c r="S102" s="173"/>
      <c r="T102" s="174"/>
      <c r="U102" s="175"/>
      <c r="V102" s="141"/>
    </row>
    <row r="103" spans="1:22" s="69" customFormat="1" ht="18.75" x14ac:dyDescent="0.2">
      <c r="A103" s="162" t="str">
        <f>IF(Tableau!$J$22="","",Tableau!$J$22)</f>
        <v/>
      </c>
      <c r="B103" s="189"/>
      <c r="C103" s="71"/>
      <c r="D103" s="164"/>
      <c r="E103" s="164"/>
      <c r="F103" s="164"/>
      <c r="G103" s="164"/>
      <c r="H103" s="164"/>
      <c r="I103" s="164"/>
      <c r="J103" s="164"/>
      <c r="K103" s="141"/>
      <c r="L103" s="162" t="str">
        <f>IF(Tableau!$J$28="","",Tableau!$J$28)</f>
        <v/>
      </c>
      <c r="N103" s="71"/>
      <c r="O103" s="164"/>
      <c r="P103" s="164"/>
      <c r="Q103" s="164"/>
      <c r="R103" s="164"/>
      <c r="S103" s="164"/>
      <c r="T103" s="164"/>
      <c r="U103" s="165"/>
      <c r="V103" s="141"/>
    </row>
    <row r="104" spans="1:22" s="69" customFormat="1" ht="20.100000000000001" customHeight="1" x14ac:dyDescent="0.2">
      <c r="A104" s="873" t="str">
        <f>IF(A103="","",VLOOKUP(A103,liste!$A$9:$G$145,2,FALSE))</f>
        <v/>
      </c>
      <c r="B104" s="874" t="e">
        <v>#N/A</v>
      </c>
      <c r="C104" s="874" t="e">
        <v>#N/A</v>
      </c>
      <c r="D104" s="163"/>
      <c r="E104" s="163"/>
      <c r="F104" s="163"/>
      <c r="G104" s="163"/>
      <c r="H104" s="163"/>
      <c r="I104" s="163"/>
      <c r="J104" s="163"/>
      <c r="K104" s="141"/>
      <c r="L104" s="873" t="str">
        <f>IF(L103="","",VLOOKUP(L103,liste!$A$9:$G$145,2,FALSE))</f>
        <v/>
      </c>
      <c r="M104" s="874" t="e">
        <v>#N/A</v>
      </c>
      <c r="N104" s="874" t="e">
        <v>#N/A</v>
      </c>
      <c r="O104" s="163"/>
      <c r="P104" s="163"/>
      <c r="Q104" s="163"/>
      <c r="R104" s="163"/>
      <c r="S104" s="163"/>
      <c r="T104" s="163"/>
      <c r="U104" s="141"/>
      <c r="V104" s="141"/>
    </row>
    <row r="105" spans="1:22" s="69" customFormat="1" ht="20.100000000000001" customHeight="1" x14ac:dyDescent="0.2">
      <c r="A105" s="154"/>
      <c r="B105" s="152"/>
      <c r="C105" s="166" t="str">
        <f>IF(A103="","",VLOOKUP(A103,liste!$A$9:$G$145,4,FALSE))</f>
        <v/>
      </c>
      <c r="D105" s="167"/>
      <c r="E105" s="167"/>
      <c r="F105" s="167"/>
      <c r="G105" s="167"/>
      <c r="H105" s="167"/>
      <c r="I105" s="167"/>
      <c r="J105" s="167"/>
      <c r="K105" s="141"/>
      <c r="L105" s="154"/>
      <c r="M105" s="152"/>
      <c r="N105" s="166" t="str">
        <f>IF(L103="","",VLOOKUP(L103,liste!$A$9:$G$145,4,FALSE))</f>
        <v/>
      </c>
      <c r="O105" s="167"/>
      <c r="P105" s="167"/>
      <c r="Q105" s="167"/>
      <c r="R105" s="167"/>
      <c r="S105" s="167"/>
      <c r="T105" s="167"/>
      <c r="U105" s="168"/>
      <c r="V105" s="141"/>
    </row>
    <row r="106" spans="1:22" s="69" customFormat="1" ht="15.75" x14ac:dyDescent="0.2">
      <c r="A106" s="190" t="str">
        <f>IF(A103="","",VLOOKUP(A103,liste!$A$9:$G$145,3,FALSE))</f>
        <v/>
      </c>
      <c r="B106" s="152"/>
      <c r="C106" s="152"/>
      <c r="D106" s="170"/>
      <c r="E106" s="170"/>
      <c r="F106" s="170"/>
      <c r="G106" s="170"/>
      <c r="H106" s="170"/>
      <c r="I106" s="171"/>
      <c r="J106" s="171"/>
      <c r="K106" s="141"/>
      <c r="L106" s="188" t="str">
        <f>IF(L103="","",VLOOKUP(L103,liste!$A$9:$G$145,3,FALSE))</f>
        <v/>
      </c>
      <c r="M106" s="152"/>
      <c r="N106" s="152"/>
      <c r="O106" s="170"/>
      <c r="P106" s="170"/>
      <c r="Q106" s="170"/>
      <c r="R106" s="170"/>
      <c r="S106" s="170"/>
      <c r="T106" s="171"/>
      <c r="U106" s="172"/>
      <c r="V106" s="141"/>
    </row>
    <row r="107" spans="1:22" s="69" customFormat="1" ht="12.75" x14ac:dyDescent="0.2">
      <c r="A107" s="141"/>
      <c r="B107" s="71"/>
      <c r="C107" s="71"/>
      <c r="D107" s="173"/>
      <c r="E107" s="173"/>
      <c r="F107" s="173"/>
      <c r="G107" s="173"/>
      <c r="H107" s="173"/>
      <c r="I107" s="174"/>
      <c r="J107" s="174"/>
      <c r="K107" s="141"/>
      <c r="L107" s="141"/>
      <c r="M107" s="71"/>
      <c r="N107" s="71"/>
      <c r="O107" s="173"/>
      <c r="P107" s="173"/>
      <c r="Q107" s="173"/>
      <c r="R107" s="173"/>
      <c r="S107" s="173"/>
      <c r="T107" s="174"/>
      <c r="U107" s="175"/>
      <c r="V107" s="141"/>
    </row>
    <row r="108" spans="1:22" s="69" customFormat="1" ht="12.75" x14ac:dyDescent="0.2">
      <c r="A108" s="141"/>
      <c r="B108" s="71"/>
      <c r="C108" s="71"/>
      <c r="D108" s="71"/>
      <c r="E108" s="71"/>
      <c r="F108" s="71"/>
      <c r="G108" s="71"/>
      <c r="H108" s="71"/>
      <c r="I108" s="71"/>
      <c r="J108" s="143"/>
      <c r="K108" s="141"/>
      <c r="L108" s="141"/>
      <c r="M108" s="71"/>
      <c r="N108" s="71"/>
      <c r="O108" s="71"/>
      <c r="P108" s="71"/>
      <c r="Q108" s="71"/>
      <c r="R108" s="71"/>
      <c r="S108" s="71"/>
      <c r="T108" s="71"/>
      <c r="U108" s="71"/>
      <c r="V108" s="141"/>
    </row>
    <row r="109" spans="1:22" s="69" customFormat="1" ht="20.100000000000001" customHeight="1" x14ac:dyDescent="0.2">
      <c r="A109" s="863" t="s">
        <v>85</v>
      </c>
      <c r="B109" s="864"/>
      <c r="C109" s="864"/>
      <c r="D109" s="178" t="s">
        <v>72</v>
      </c>
      <c r="E109" s="178" t="s">
        <v>82</v>
      </c>
      <c r="F109" s="178" t="s">
        <v>83</v>
      </c>
      <c r="G109" s="71"/>
      <c r="H109" s="71"/>
      <c r="I109" s="71"/>
      <c r="J109" s="143"/>
      <c r="K109" s="141"/>
      <c r="L109" s="863" t="s">
        <v>85</v>
      </c>
      <c r="M109" s="864"/>
      <c r="N109" s="864"/>
      <c r="O109" s="178" t="s">
        <v>72</v>
      </c>
      <c r="P109" s="178" t="s">
        <v>82</v>
      </c>
      <c r="Q109" s="178" t="s">
        <v>83</v>
      </c>
      <c r="R109" s="71"/>
      <c r="S109" s="71"/>
      <c r="T109" s="71"/>
      <c r="U109" s="71"/>
      <c r="V109" s="141"/>
    </row>
    <row r="110" spans="1:22" s="69" customFormat="1" ht="20.100000000000001" customHeight="1" x14ac:dyDescent="0.2">
      <c r="A110" s="179" t="str">
        <f>A99</f>
        <v/>
      </c>
      <c r="B110" s="180"/>
      <c r="C110" s="181"/>
      <c r="D110" s="164"/>
      <c r="E110" s="164"/>
      <c r="F110" s="164"/>
      <c r="G110" s="71"/>
      <c r="H110" s="71"/>
      <c r="I110" s="71"/>
      <c r="J110" s="143"/>
      <c r="K110" s="141"/>
      <c r="L110" s="179" t="str">
        <f>L99</f>
        <v/>
      </c>
      <c r="M110" s="180"/>
      <c r="N110" s="181"/>
      <c r="O110" s="164"/>
      <c r="P110" s="164"/>
      <c r="Q110" s="164"/>
      <c r="R110" s="71"/>
      <c r="S110" s="71"/>
      <c r="T110" s="71"/>
      <c r="U110" s="71"/>
      <c r="V110" s="141"/>
    </row>
    <row r="111" spans="1:22" s="69" customFormat="1" ht="20.100000000000001" customHeight="1" x14ac:dyDescent="0.2">
      <c r="A111" s="168"/>
      <c r="B111" s="182"/>
      <c r="C111" s="183"/>
      <c r="D111" s="167"/>
      <c r="E111" s="167"/>
      <c r="F111" s="167"/>
      <c r="G111" s="71"/>
      <c r="H111" s="71"/>
      <c r="I111" s="71"/>
      <c r="J111" s="143"/>
      <c r="K111" s="141"/>
      <c r="L111" s="168"/>
      <c r="M111" s="182"/>
      <c r="N111" s="183"/>
      <c r="O111" s="167"/>
      <c r="P111" s="167"/>
      <c r="Q111" s="167"/>
      <c r="R111" s="71"/>
      <c r="S111" s="71"/>
      <c r="T111" s="71"/>
      <c r="U111" s="71"/>
      <c r="V111" s="141"/>
    </row>
    <row r="112" spans="1:22" s="69" customFormat="1" ht="20.100000000000001" customHeight="1" x14ac:dyDescent="0.2">
      <c r="A112" s="179" t="str">
        <f>A104</f>
        <v/>
      </c>
      <c r="B112" s="180"/>
      <c r="C112" s="181"/>
      <c r="D112" s="164"/>
      <c r="E112" s="164"/>
      <c r="F112" s="164"/>
      <c r="G112" s="71"/>
      <c r="H112" s="71"/>
      <c r="I112" s="71"/>
      <c r="J112" s="143"/>
      <c r="K112" s="141"/>
      <c r="L112" s="179" t="str">
        <f>L104</f>
        <v/>
      </c>
      <c r="M112" s="180"/>
      <c r="N112" s="181"/>
      <c r="O112" s="164"/>
      <c r="P112" s="164"/>
      <c r="Q112" s="164"/>
      <c r="R112" s="71"/>
      <c r="S112" s="71"/>
      <c r="T112" s="71"/>
      <c r="U112" s="71"/>
      <c r="V112" s="141"/>
    </row>
    <row r="113" spans="1:22" s="69" customFormat="1" ht="20.100000000000001" customHeight="1" x14ac:dyDescent="0.2">
      <c r="A113" s="168"/>
      <c r="B113" s="182"/>
      <c r="C113" s="183"/>
      <c r="D113" s="167"/>
      <c r="E113" s="167"/>
      <c r="F113" s="167"/>
      <c r="G113" s="71"/>
      <c r="H113" s="71"/>
      <c r="I113" s="71"/>
      <c r="J113" s="143"/>
      <c r="K113" s="141"/>
      <c r="L113" s="168"/>
      <c r="M113" s="182"/>
      <c r="N113" s="183"/>
      <c r="O113" s="167"/>
      <c r="P113" s="167"/>
      <c r="Q113" s="167"/>
      <c r="R113" s="71"/>
      <c r="S113" s="71"/>
      <c r="T113" s="71"/>
      <c r="U113" s="71"/>
      <c r="V113" s="141"/>
    </row>
    <row r="114" spans="1:22" s="69" customFormat="1" ht="12.75" x14ac:dyDescent="0.2">
      <c r="A114" s="184" t="s">
        <v>86</v>
      </c>
      <c r="B114" s="71"/>
      <c r="C114" s="71"/>
      <c r="D114" s="71"/>
      <c r="E114" s="71"/>
      <c r="F114" s="71"/>
      <c r="G114" s="71"/>
      <c r="H114" s="71"/>
      <c r="I114" s="71"/>
      <c r="J114" s="143"/>
      <c r="K114" s="141"/>
      <c r="L114" s="184" t="s">
        <v>86</v>
      </c>
      <c r="M114" s="71"/>
      <c r="N114" s="71"/>
      <c r="O114" s="71"/>
      <c r="P114" s="71"/>
      <c r="Q114" s="71"/>
      <c r="R114" s="71"/>
      <c r="S114" s="71"/>
      <c r="T114" s="71"/>
      <c r="U114" s="71"/>
      <c r="V114" s="141"/>
    </row>
    <row r="115" spans="1:22" s="69" customFormat="1" ht="12.75" x14ac:dyDescent="0.2">
      <c r="A115" s="141"/>
      <c r="B115" s="71"/>
      <c r="C115" s="71"/>
      <c r="D115" s="71"/>
      <c r="E115" s="71"/>
      <c r="F115" s="71"/>
      <c r="G115" s="71"/>
      <c r="H115" s="71"/>
      <c r="I115" s="71"/>
      <c r="J115" s="143"/>
      <c r="K115" s="141"/>
      <c r="L115" s="141"/>
      <c r="M115" s="71"/>
      <c r="N115" s="71"/>
      <c r="O115" s="71"/>
      <c r="P115" s="71"/>
      <c r="Q115" s="71"/>
      <c r="R115" s="71"/>
      <c r="S115" s="71"/>
      <c r="T115" s="71"/>
      <c r="U115" s="71"/>
      <c r="V115" s="141"/>
    </row>
    <row r="116" spans="1:22" s="69" customFormat="1" ht="12.75" x14ac:dyDescent="0.2">
      <c r="A116" s="185" t="s">
        <v>84</v>
      </c>
      <c r="B116" s="182"/>
      <c r="C116" s="182"/>
      <c r="D116" s="182"/>
      <c r="E116" s="182"/>
      <c r="F116" s="182"/>
      <c r="G116" s="182"/>
      <c r="H116" s="182"/>
      <c r="I116" s="182"/>
      <c r="J116" s="183"/>
      <c r="K116" s="141"/>
      <c r="L116" s="185" t="s">
        <v>84</v>
      </c>
      <c r="M116" s="182"/>
      <c r="N116" s="182"/>
      <c r="O116" s="182"/>
      <c r="P116" s="182"/>
      <c r="Q116" s="182"/>
      <c r="R116" s="182"/>
      <c r="S116" s="182"/>
      <c r="T116" s="182"/>
      <c r="U116" s="182"/>
      <c r="V116" s="141"/>
    </row>
    <row r="117" spans="1:22" s="69" customFormat="1" ht="15.75" customHeight="1" x14ac:dyDescent="0.2">
      <c r="A117" s="877" t="str">
        <f>liste!$A$4</f>
        <v>Circuit Décathlon</v>
      </c>
      <c r="B117" s="878"/>
      <c r="C117" s="878"/>
      <c r="D117" s="878"/>
      <c r="E117" s="878"/>
      <c r="F117" s="878"/>
      <c r="G117" s="878"/>
      <c r="H117" s="878"/>
      <c r="I117" s="878"/>
      <c r="J117" s="879"/>
      <c r="K117" s="141"/>
      <c r="L117" s="877" t="str">
        <f>$A$1</f>
        <v>Circuit Décathlon</v>
      </c>
      <c r="M117" s="878"/>
      <c r="N117" s="878"/>
      <c r="O117" s="878"/>
      <c r="P117" s="878"/>
      <c r="Q117" s="878"/>
      <c r="R117" s="878"/>
      <c r="S117" s="878"/>
      <c r="T117" s="878"/>
      <c r="U117" s="879"/>
      <c r="V117" s="141"/>
    </row>
    <row r="118" spans="1:22" s="69" customFormat="1" ht="15.75" x14ac:dyDescent="0.2">
      <c r="A118" s="141"/>
      <c r="B118" s="71"/>
      <c r="C118" s="71"/>
      <c r="D118" s="142" t="s">
        <v>78</v>
      </c>
      <c r="E118" s="191">
        <f>Rens!F21</f>
        <v>0</v>
      </c>
      <c r="F118" s="71"/>
      <c r="G118" s="71"/>
      <c r="H118" s="71"/>
      <c r="I118" s="71"/>
      <c r="J118" s="143"/>
      <c r="K118" s="141"/>
      <c r="L118" s="141"/>
      <c r="M118" s="71"/>
      <c r="N118" s="71"/>
      <c r="O118" s="142" t="s">
        <v>78</v>
      </c>
      <c r="P118" s="191">
        <f>Rens!F22</f>
        <v>0</v>
      </c>
      <c r="Q118" s="71"/>
      <c r="R118" s="71"/>
      <c r="S118" s="71"/>
      <c r="T118" s="71"/>
      <c r="U118" s="71"/>
      <c r="V118" s="141"/>
    </row>
    <row r="119" spans="1:22" s="69" customFormat="1" ht="18.75" x14ac:dyDescent="0.2">
      <c r="A119" s="144" t="s">
        <v>79</v>
      </c>
      <c r="B119" s="145" t="str">
        <f>liste!$A$6</f>
        <v>FEM</v>
      </c>
      <c r="C119" s="71"/>
      <c r="D119" s="71"/>
      <c r="E119" s="71"/>
      <c r="F119" s="71"/>
      <c r="G119" s="71"/>
      <c r="H119" s="71"/>
      <c r="I119" s="71"/>
      <c r="J119" s="143"/>
      <c r="K119" s="141"/>
      <c r="L119" s="144" t="s">
        <v>79</v>
      </c>
      <c r="M119" s="145" t="str">
        <f>$B$3</f>
        <v>FEM</v>
      </c>
      <c r="N119" s="71"/>
      <c r="O119" s="71"/>
      <c r="P119" s="71"/>
      <c r="Q119" s="71"/>
      <c r="R119" s="71"/>
      <c r="S119" s="71"/>
      <c r="T119" s="71"/>
      <c r="U119" s="71"/>
      <c r="V119" s="141"/>
    </row>
    <row r="120" spans="1:22" s="69" customFormat="1" ht="18.75" x14ac:dyDescent="0.2">
      <c r="A120" s="880" t="s">
        <v>91</v>
      </c>
      <c r="B120" s="876"/>
      <c r="C120" s="876"/>
      <c r="D120" s="876"/>
      <c r="E120" s="71"/>
      <c r="F120" s="71"/>
      <c r="G120" s="72" t="str">
        <f>Rens!E21</f>
        <v>C</v>
      </c>
      <c r="H120" s="71"/>
      <c r="I120" s="71"/>
      <c r="J120" s="143"/>
      <c r="K120" s="141"/>
      <c r="L120" s="880" t="str">
        <f>A120</f>
        <v>1/4 Finale</v>
      </c>
      <c r="M120" s="876"/>
      <c r="N120" s="876"/>
      <c r="O120" s="876"/>
      <c r="P120" s="71"/>
      <c r="Q120" s="71"/>
      <c r="R120" s="72" t="str">
        <f>Rens!E22</f>
        <v>D</v>
      </c>
      <c r="S120" s="71"/>
      <c r="T120" s="71"/>
      <c r="U120" s="71"/>
      <c r="V120" s="141"/>
    </row>
    <row r="121" spans="1:22" s="155" customFormat="1" ht="18.75" x14ac:dyDescent="0.2">
      <c r="A121" s="154"/>
      <c r="B121" s="187" t="str">
        <f>Tableau!J28</f>
        <v/>
      </c>
      <c r="C121" s="152"/>
      <c r="D121" s="152"/>
      <c r="E121" s="73" t="s">
        <v>142</v>
      </c>
      <c r="F121" s="72">
        <f>Rens!G21</f>
        <v>0</v>
      </c>
      <c r="G121" s="152"/>
      <c r="H121" s="152"/>
      <c r="I121" s="152"/>
      <c r="J121" s="153"/>
      <c r="K121" s="154"/>
      <c r="L121" s="154"/>
      <c r="M121" s="187" t="str">
        <f>Tableau!J20</f>
        <v/>
      </c>
      <c r="N121" s="152"/>
      <c r="O121" s="152"/>
      <c r="P121" s="73" t="s">
        <v>142</v>
      </c>
      <c r="Q121" s="72">
        <f>Rens!G22</f>
        <v>0</v>
      </c>
      <c r="R121" s="152"/>
      <c r="S121" s="152"/>
      <c r="T121" s="152"/>
      <c r="U121" s="152"/>
      <c r="V121" s="154"/>
    </row>
    <row r="122" spans="1:22" s="69" customFormat="1" ht="15.75" x14ac:dyDescent="0.2">
      <c r="A122" s="192" t="s">
        <v>80</v>
      </c>
      <c r="B122" s="150" t="str">
        <f>IF(B121="","",VLOOKUP(B121,liste!$A$9:$G$145,2,FALSE))</f>
        <v/>
      </c>
      <c r="C122" s="193"/>
      <c r="D122" s="193"/>
      <c r="E122" s="193"/>
      <c r="F122" s="193"/>
      <c r="G122" s="193"/>
      <c r="H122" s="193"/>
      <c r="I122" s="71"/>
      <c r="J122" s="143"/>
      <c r="K122" s="141"/>
      <c r="L122" s="192" t="s">
        <v>80</v>
      </c>
      <c r="M122" s="150" t="str">
        <f>IF(M121="","",VLOOKUP(M121,liste!$A$9:$G$145,2,FALSE))</f>
        <v/>
      </c>
      <c r="N122" s="193"/>
      <c r="O122" s="193"/>
      <c r="P122" s="193"/>
      <c r="Q122" s="193"/>
      <c r="R122" s="193"/>
      <c r="S122" s="193"/>
      <c r="T122" s="71"/>
      <c r="U122" s="71"/>
      <c r="V122" s="141"/>
    </row>
    <row r="123" spans="1:22" s="69" customFormat="1" ht="20.100000000000001" customHeight="1" x14ac:dyDescent="0.2">
      <c r="A123" s="141"/>
      <c r="B123" s="71"/>
      <c r="C123" s="71"/>
      <c r="D123" s="865" t="s">
        <v>19</v>
      </c>
      <c r="E123" s="866"/>
      <c r="F123" s="866"/>
      <c r="G123" s="866"/>
      <c r="H123" s="866"/>
      <c r="I123" s="866"/>
      <c r="J123" s="867"/>
      <c r="K123" s="141"/>
      <c r="L123" s="156"/>
      <c r="M123" s="157"/>
      <c r="N123" s="157"/>
      <c r="O123" s="865" t="s">
        <v>19</v>
      </c>
      <c r="P123" s="866"/>
      <c r="Q123" s="866"/>
      <c r="R123" s="866"/>
      <c r="S123" s="866"/>
      <c r="T123" s="866"/>
      <c r="U123" s="867"/>
      <c r="V123" s="141"/>
    </row>
    <row r="124" spans="1:22" s="69" customFormat="1" ht="20.100000000000001" customHeight="1" x14ac:dyDescent="0.2">
      <c r="A124" s="868" t="s">
        <v>81</v>
      </c>
      <c r="B124" s="869"/>
      <c r="C124" s="869"/>
      <c r="D124" s="158">
        <v>1</v>
      </c>
      <c r="E124" s="158">
        <v>2</v>
      </c>
      <c r="F124" s="158">
        <v>3</v>
      </c>
      <c r="G124" s="158">
        <v>4</v>
      </c>
      <c r="H124" s="158">
        <v>5</v>
      </c>
      <c r="I124" s="158">
        <v>6</v>
      </c>
      <c r="J124" s="158">
        <v>7</v>
      </c>
      <c r="K124" s="141"/>
      <c r="L124" s="868" t="s">
        <v>81</v>
      </c>
      <c r="M124" s="869"/>
      <c r="N124" s="869"/>
      <c r="O124" s="158">
        <v>1</v>
      </c>
      <c r="P124" s="158">
        <v>2</v>
      </c>
      <c r="Q124" s="158">
        <v>3</v>
      </c>
      <c r="R124" s="158">
        <v>4</v>
      </c>
      <c r="S124" s="158">
        <v>5</v>
      </c>
      <c r="T124" s="158">
        <v>6</v>
      </c>
      <c r="U124" s="159">
        <v>7</v>
      </c>
      <c r="V124" s="141"/>
    </row>
    <row r="125" spans="1:22" s="69" customFormat="1" ht="20.100000000000001" customHeight="1" x14ac:dyDescent="0.2">
      <c r="A125" s="160"/>
      <c r="B125" s="161"/>
      <c r="C125" s="161"/>
      <c r="D125" s="870" t="s">
        <v>87</v>
      </c>
      <c r="E125" s="871"/>
      <c r="F125" s="871"/>
      <c r="G125" s="871"/>
      <c r="H125" s="871"/>
      <c r="I125" s="871"/>
      <c r="J125" s="872"/>
      <c r="K125" s="141"/>
      <c r="L125" s="160"/>
      <c r="M125" s="161"/>
      <c r="N125" s="161"/>
      <c r="O125" s="870" t="s">
        <v>87</v>
      </c>
      <c r="P125" s="871"/>
      <c r="Q125" s="871"/>
      <c r="R125" s="871"/>
      <c r="S125" s="871"/>
      <c r="T125" s="871"/>
      <c r="U125" s="872"/>
      <c r="V125" s="141"/>
    </row>
    <row r="126" spans="1:22" s="69" customFormat="1" ht="18.75" x14ac:dyDescent="0.2">
      <c r="A126" s="162" t="str">
        <f>IF(Tableau!$R$10="","",Tableau!$R$10)</f>
        <v/>
      </c>
      <c r="B126" s="71"/>
      <c r="C126" s="71"/>
      <c r="D126" s="163"/>
      <c r="E126" s="163"/>
      <c r="F126" s="163"/>
      <c r="G126" s="163"/>
      <c r="H126" s="163"/>
      <c r="I126" s="163"/>
      <c r="J126" s="163"/>
      <c r="K126" s="141"/>
      <c r="L126" s="162" t="str">
        <f>IF(Tableau!$R$16="","",Tableau!$R16)</f>
        <v/>
      </c>
      <c r="M126" s="71"/>
      <c r="N126" s="71"/>
      <c r="O126" s="164"/>
      <c r="P126" s="164"/>
      <c r="Q126" s="164"/>
      <c r="R126" s="164"/>
      <c r="S126" s="164"/>
      <c r="T126" s="164"/>
      <c r="U126" s="165"/>
      <c r="V126" s="141"/>
    </row>
    <row r="127" spans="1:22" s="69" customFormat="1" ht="20.100000000000001" customHeight="1" x14ac:dyDescent="0.2">
      <c r="A127" s="873" t="str">
        <f>IF(A126="","",VLOOKUP(A126,liste!$A$9:$G$145,2,FALSE))</f>
        <v/>
      </c>
      <c r="B127" s="874" t="e">
        <v>#N/A</v>
      </c>
      <c r="C127" s="874" t="e">
        <v>#N/A</v>
      </c>
      <c r="D127" s="163"/>
      <c r="E127" s="163"/>
      <c r="F127" s="163"/>
      <c r="G127" s="163"/>
      <c r="H127" s="163"/>
      <c r="I127" s="163"/>
      <c r="J127" s="163"/>
      <c r="K127" s="141"/>
      <c r="L127" s="873" t="str">
        <f>IF(L126="","",VLOOKUP(L126,liste!$A$9:$G$145,2,FALSE))</f>
        <v/>
      </c>
      <c r="M127" s="874" t="e">
        <v>#N/A</v>
      </c>
      <c r="N127" s="874" t="e">
        <v>#N/A</v>
      </c>
      <c r="O127" s="163"/>
      <c r="P127" s="163"/>
      <c r="Q127" s="163"/>
      <c r="R127" s="163"/>
      <c r="S127" s="163"/>
      <c r="T127" s="163"/>
      <c r="U127" s="141"/>
      <c r="V127" s="141"/>
    </row>
    <row r="128" spans="1:22" s="69" customFormat="1" ht="20.100000000000001" customHeight="1" x14ac:dyDescent="0.2">
      <c r="A128" s="154"/>
      <c r="B128" s="152"/>
      <c r="C128" s="166" t="str">
        <f>IF(A126="","",VLOOKUP(A126,liste!$A$9:$G$145,4,FALSE))</f>
        <v/>
      </c>
      <c r="D128" s="167"/>
      <c r="E128" s="167"/>
      <c r="F128" s="167"/>
      <c r="G128" s="167"/>
      <c r="H128" s="167"/>
      <c r="I128" s="167"/>
      <c r="J128" s="167"/>
      <c r="K128" s="141"/>
      <c r="L128" s="154"/>
      <c r="M128" s="152"/>
      <c r="N128" s="166" t="str">
        <f>IF(L126="","",VLOOKUP(L126,liste!$A$9:$G$145,4,FALSE))</f>
        <v/>
      </c>
      <c r="O128" s="167"/>
      <c r="P128" s="167"/>
      <c r="Q128" s="167"/>
      <c r="R128" s="167"/>
      <c r="S128" s="167"/>
      <c r="T128" s="167"/>
      <c r="U128" s="168"/>
      <c r="V128" s="141"/>
    </row>
    <row r="129" spans="1:22" s="69" customFormat="1" ht="15.75" x14ac:dyDescent="0.2">
      <c r="A129" s="169" t="str">
        <f>IF(A126="","",VLOOKUP(A126,liste!$A$9:$G$145,3,FALSE))</f>
        <v/>
      </c>
      <c r="B129" s="152"/>
      <c r="C129" s="152"/>
      <c r="D129" s="170"/>
      <c r="E129" s="170"/>
      <c r="F129" s="170"/>
      <c r="G129" s="170"/>
      <c r="H129" s="170"/>
      <c r="I129" s="171"/>
      <c r="J129" s="171"/>
      <c r="K129" s="141"/>
      <c r="L129" s="169" t="str">
        <f>IF(L126="","",VLOOKUP(L126,liste!$A$9:$G$145,3,FALSE))</f>
        <v/>
      </c>
      <c r="M129" s="152"/>
      <c r="N129" s="152"/>
      <c r="O129" s="170"/>
      <c r="P129" s="170"/>
      <c r="Q129" s="170"/>
      <c r="R129" s="170"/>
      <c r="S129" s="170"/>
      <c r="T129" s="171"/>
      <c r="U129" s="172"/>
      <c r="V129" s="141"/>
    </row>
    <row r="130" spans="1:22" s="69" customFormat="1" ht="12.75" x14ac:dyDescent="0.2">
      <c r="A130" s="141"/>
      <c r="B130" s="70" t="s">
        <v>9</v>
      </c>
      <c r="C130" s="71"/>
      <c r="D130" s="173"/>
      <c r="E130" s="173"/>
      <c r="F130" s="173"/>
      <c r="G130" s="173"/>
      <c r="H130" s="173"/>
      <c r="I130" s="174"/>
      <c r="J130" s="174"/>
      <c r="K130" s="141"/>
      <c r="L130" s="141"/>
      <c r="M130" s="70" t="s">
        <v>9</v>
      </c>
      <c r="N130" s="71"/>
      <c r="O130" s="173"/>
      <c r="P130" s="173"/>
      <c r="Q130" s="173"/>
      <c r="R130" s="173"/>
      <c r="S130" s="173"/>
      <c r="T130" s="174"/>
      <c r="U130" s="175"/>
      <c r="V130" s="141"/>
    </row>
    <row r="131" spans="1:22" s="69" customFormat="1" ht="18.75" x14ac:dyDescent="0.2">
      <c r="A131" s="162" t="str">
        <f>IF(Tableau!$R$12="","",Tableau!$R$12)</f>
        <v/>
      </c>
      <c r="B131" s="71"/>
      <c r="C131" s="71"/>
      <c r="D131" s="164"/>
      <c r="E131" s="164"/>
      <c r="F131" s="164"/>
      <c r="G131" s="164"/>
      <c r="H131" s="164"/>
      <c r="I131" s="164"/>
      <c r="J131" s="164"/>
      <c r="K131" s="141"/>
      <c r="L131" s="162" t="str">
        <f>IF(Tableau!$R18="","",Tableau!$R$18)</f>
        <v/>
      </c>
      <c r="M131" s="71"/>
      <c r="N131" s="71"/>
      <c r="O131" s="194"/>
      <c r="P131" s="194"/>
      <c r="Q131" s="194"/>
      <c r="R131" s="194"/>
      <c r="S131" s="164"/>
      <c r="T131" s="164"/>
      <c r="U131" s="165"/>
      <c r="V131" s="141"/>
    </row>
    <row r="132" spans="1:22" s="69" customFormat="1" ht="20.100000000000001" customHeight="1" x14ac:dyDescent="0.2">
      <c r="A132" s="873" t="str">
        <f>IF(A131="","",VLOOKUP(A131,liste!$A$9:$G$145,2,FALSE))</f>
        <v/>
      </c>
      <c r="B132" s="874" t="e">
        <v>#N/A</v>
      </c>
      <c r="C132" s="874" t="e">
        <v>#N/A</v>
      </c>
      <c r="D132" s="163"/>
      <c r="E132" s="163"/>
      <c r="F132" s="163"/>
      <c r="G132" s="163"/>
      <c r="H132" s="163"/>
      <c r="I132" s="163"/>
      <c r="J132" s="163"/>
      <c r="K132" s="141"/>
      <c r="L132" s="873" t="str">
        <f>IF(L131="","",VLOOKUP(L131,liste!$A$9:$G$145,2,FALSE))</f>
        <v/>
      </c>
      <c r="M132" s="874" t="e">
        <v>#N/A</v>
      </c>
      <c r="N132" s="874" t="e">
        <v>#N/A</v>
      </c>
      <c r="O132" s="163"/>
      <c r="P132" s="163"/>
      <c r="Q132" s="163"/>
      <c r="R132" s="163"/>
      <c r="S132" s="163"/>
      <c r="T132" s="163"/>
      <c r="U132" s="141"/>
      <c r="V132" s="141"/>
    </row>
    <row r="133" spans="1:22" s="69" customFormat="1" ht="20.100000000000001" customHeight="1" x14ac:dyDescent="0.2">
      <c r="A133" s="154"/>
      <c r="B133" s="152"/>
      <c r="C133" s="166" t="str">
        <f>IF(A131="","",VLOOKUP(A131,liste!$A$9:$G$145,4,FALSE))</f>
        <v/>
      </c>
      <c r="D133" s="167"/>
      <c r="E133" s="167"/>
      <c r="F133" s="167"/>
      <c r="G133" s="167"/>
      <c r="H133" s="167"/>
      <c r="I133" s="167"/>
      <c r="J133" s="167"/>
      <c r="K133" s="141"/>
      <c r="L133" s="154"/>
      <c r="M133" s="152"/>
      <c r="N133" s="166" t="str">
        <f>IF(L131="","",VLOOKUP(L131,liste!$A$9:$G$145,4,FALSE))</f>
        <v/>
      </c>
      <c r="O133" s="167"/>
      <c r="P133" s="167"/>
      <c r="Q133" s="167"/>
      <c r="R133" s="167"/>
      <c r="S133" s="167"/>
      <c r="T133" s="167"/>
      <c r="U133" s="168"/>
      <c r="V133" s="141"/>
    </row>
    <row r="134" spans="1:22" s="69" customFormat="1" ht="15.75" x14ac:dyDescent="0.2">
      <c r="A134" s="169" t="str">
        <f>IF(A131="","",VLOOKUP(A131,liste!$A$9:$G$145,3,FALSE))</f>
        <v/>
      </c>
      <c r="B134" s="152"/>
      <c r="C134" s="152"/>
      <c r="D134" s="170"/>
      <c r="E134" s="170"/>
      <c r="F134" s="170"/>
      <c r="G134" s="170"/>
      <c r="H134" s="170"/>
      <c r="I134" s="171"/>
      <c r="J134" s="171"/>
      <c r="K134" s="141"/>
      <c r="L134" s="169" t="str">
        <f>IF(L131="","",VLOOKUP(L131,liste!$A$9:$G$145,3,FALSE))</f>
        <v/>
      </c>
      <c r="M134" s="152"/>
      <c r="N134" s="152"/>
      <c r="O134" s="170"/>
      <c r="P134" s="170"/>
      <c r="Q134" s="170"/>
      <c r="R134" s="170"/>
      <c r="S134" s="170"/>
      <c r="T134" s="171"/>
      <c r="U134" s="172"/>
      <c r="V134" s="141"/>
    </row>
    <row r="135" spans="1:22" s="69" customFormat="1" ht="12.75" x14ac:dyDescent="0.2">
      <c r="A135" s="141"/>
      <c r="B135" s="71"/>
      <c r="C135" s="71"/>
      <c r="D135" s="173"/>
      <c r="E135" s="173"/>
      <c r="F135" s="173"/>
      <c r="G135" s="173"/>
      <c r="H135" s="173"/>
      <c r="I135" s="174"/>
      <c r="J135" s="174"/>
      <c r="K135" s="141"/>
      <c r="L135" s="141"/>
      <c r="M135" s="71"/>
      <c r="N135" s="71"/>
      <c r="O135" s="173"/>
      <c r="P135" s="173"/>
      <c r="Q135" s="173"/>
      <c r="R135" s="173"/>
      <c r="S135" s="173"/>
      <c r="T135" s="174"/>
      <c r="U135" s="175"/>
      <c r="V135" s="141"/>
    </row>
    <row r="136" spans="1:22" s="69" customFormat="1" ht="12.75" x14ac:dyDescent="0.2">
      <c r="A136" s="141"/>
      <c r="B136" s="71"/>
      <c r="C136" s="71"/>
      <c r="D136" s="71"/>
      <c r="E136" s="71"/>
      <c r="F136" s="71"/>
      <c r="G136" s="71"/>
      <c r="H136" s="71"/>
      <c r="I136" s="71"/>
      <c r="J136" s="143"/>
      <c r="K136" s="141"/>
      <c r="L136" s="141"/>
      <c r="M136" s="71"/>
      <c r="N136" s="71"/>
      <c r="O136" s="71"/>
      <c r="P136" s="71"/>
      <c r="Q136" s="71"/>
      <c r="R136" s="71"/>
      <c r="S136" s="71"/>
      <c r="T136" s="71"/>
      <c r="U136" s="71"/>
      <c r="V136" s="141"/>
    </row>
    <row r="137" spans="1:22" s="69" customFormat="1" ht="20.100000000000001" customHeight="1" x14ac:dyDescent="0.2">
      <c r="A137" s="863" t="s">
        <v>85</v>
      </c>
      <c r="B137" s="864"/>
      <c r="C137" s="864"/>
      <c r="D137" s="178" t="s">
        <v>72</v>
      </c>
      <c r="E137" s="178" t="s">
        <v>82</v>
      </c>
      <c r="F137" s="178" t="s">
        <v>83</v>
      </c>
      <c r="G137" s="71"/>
      <c r="H137" s="71"/>
      <c r="I137" s="71"/>
      <c r="J137" s="143"/>
      <c r="K137" s="141"/>
      <c r="L137" s="863" t="s">
        <v>85</v>
      </c>
      <c r="M137" s="864"/>
      <c r="N137" s="864"/>
      <c r="O137" s="178" t="s">
        <v>72</v>
      </c>
      <c r="P137" s="178" t="s">
        <v>82</v>
      </c>
      <c r="Q137" s="178" t="s">
        <v>83</v>
      </c>
      <c r="R137" s="71"/>
      <c r="S137" s="71"/>
      <c r="T137" s="71"/>
      <c r="U137" s="71"/>
      <c r="V137" s="141"/>
    </row>
    <row r="138" spans="1:22" s="69" customFormat="1" ht="20.100000000000001" customHeight="1" x14ac:dyDescent="0.2">
      <c r="A138" s="179" t="str">
        <f>A127</f>
        <v/>
      </c>
      <c r="B138" s="180"/>
      <c r="C138" s="181"/>
      <c r="D138" s="164"/>
      <c r="E138" s="164"/>
      <c r="F138" s="164"/>
      <c r="G138" s="71"/>
      <c r="H138" s="71"/>
      <c r="I138" s="71"/>
      <c r="J138" s="143"/>
      <c r="K138" s="141"/>
      <c r="L138" s="179" t="str">
        <f>L127</f>
        <v/>
      </c>
      <c r="M138" s="180"/>
      <c r="N138" s="181"/>
      <c r="O138" s="164"/>
      <c r="P138" s="164"/>
      <c r="Q138" s="164"/>
      <c r="R138" s="71"/>
      <c r="S138" s="71"/>
      <c r="T138" s="71"/>
      <c r="U138" s="71"/>
      <c r="V138" s="141"/>
    </row>
    <row r="139" spans="1:22" s="69" customFormat="1" ht="20.100000000000001" customHeight="1" x14ac:dyDescent="0.2">
      <c r="A139" s="168"/>
      <c r="B139" s="182"/>
      <c r="C139" s="183"/>
      <c r="D139" s="167"/>
      <c r="E139" s="167"/>
      <c r="F139" s="167"/>
      <c r="G139" s="71"/>
      <c r="H139" s="71"/>
      <c r="I139" s="71"/>
      <c r="J139" s="143"/>
      <c r="K139" s="141"/>
      <c r="L139" s="168"/>
      <c r="M139" s="182"/>
      <c r="N139" s="183"/>
      <c r="O139" s="167"/>
      <c r="P139" s="167"/>
      <c r="Q139" s="167"/>
      <c r="R139" s="71"/>
      <c r="S139" s="71"/>
      <c r="T139" s="71"/>
      <c r="U139" s="71"/>
      <c r="V139" s="141"/>
    </row>
    <row r="140" spans="1:22" s="69" customFormat="1" ht="20.100000000000001" customHeight="1" x14ac:dyDescent="0.2">
      <c r="A140" s="179" t="str">
        <f>A132</f>
        <v/>
      </c>
      <c r="B140" s="180"/>
      <c r="C140" s="181"/>
      <c r="D140" s="164"/>
      <c r="E140" s="164"/>
      <c r="F140" s="164"/>
      <c r="G140" s="71"/>
      <c r="H140" s="71"/>
      <c r="I140" s="71"/>
      <c r="J140" s="143"/>
      <c r="K140" s="141"/>
      <c r="L140" s="179" t="str">
        <f>L132</f>
        <v/>
      </c>
      <c r="M140" s="180"/>
      <c r="N140" s="181"/>
      <c r="O140" s="164"/>
      <c r="P140" s="164"/>
      <c r="Q140" s="164"/>
      <c r="R140" s="71"/>
      <c r="S140" s="71"/>
      <c r="T140" s="71"/>
      <c r="U140" s="71"/>
      <c r="V140" s="141"/>
    </row>
    <row r="141" spans="1:22" s="69" customFormat="1" ht="20.100000000000001" customHeight="1" x14ac:dyDescent="0.2">
      <c r="A141" s="168"/>
      <c r="B141" s="182"/>
      <c r="C141" s="183"/>
      <c r="D141" s="167"/>
      <c r="E141" s="167"/>
      <c r="F141" s="167"/>
      <c r="G141" s="71"/>
      <c r="H141" s="71"/>
      <c r="I141" s="71"/>
      <c r="J141" s="143"/>
      <c r="K141" s="141"/>
      <c r="L141" s="168"/>
      <c r="M141" s="182"/>
      <c r="N141" s="183"/>
      <c r="O141" s="167"/>
      <c r="P141" s="167"/>
      <c r="Q141" s="167"/>
      <c r="R141" s="71"/>
      <c r="S141" s="71"/>
      <c r="T141" s="71"/>
      <c r="U141" s="71"/>
      <c r="V141" s="141"/>
    </row>
    <row r="142" spans="1:22" s="69" customFormat="1" ht="12.75" x14ac:dyDescent="0.2">
      <c r="A142" s="184" t="s">
        <v>86</v>
      </c>
      <c r="B142" s="71"/>
      <c r="C142" s="71"/>
      <c r="D142" s="71"/>
      <c r="E142" s="71"/>
      <c r="F142" s="71"/>
      <c r="G142" s="71"/>
      <c r="H142" s="71"/>
      <c r="I142" s="71"/>
      <c r="J142" s="143"/>
      <c r="K142" s="141"/>
      <c r="L142" s="184" t="s">
        <v>86</v>
      </c>
      <c r="M142" s="71"/>
      <c r="N142" s="71"/>
      <c r="O142" s="71"/>
      <c r="P142" s="71"/>
      <c r="Q142" s="71"/>
      <c r="R142" s="71"/>
      <c r="S142" s="71"/>
      <c r="T142" s="71"/>
      <c r="U142" s="71"/>
      <c r="V142" s="141"/>
    </row>
    <row r="143" spans="1:22" s="69" customFormat="1" ht="12.75" x14ac:dyDescent="0.2">
      <c r="A143" s="141"/>
      <c r="B143" s="71"/>
      <c r="C143" s="71"/>
      <c r="D143" s="71"/>
      <c r="E143" s="71"/>
      <c r="F143" s="71"/>
      <c r="G143" s="71"/>
      <c r="H143" s="71"/>
      <c r="I143" s="71"/>
      <c r="J143" s="143"/>
      <c r="K143" s="141"/>
      <c r="L143" s="141"/>
      <c r="M143" s="71"/>
      <c r="N143" s="71"/>
      <c r="O143" s="71"/>
      <c r="P143" s="71"/>
      <c r="Q143" s="71"/>
      <c r="R143" s="71"/>
      <c r="S143" s="71"/>
      <c r="T143" s="71"/>
      <c r="U143" s="71"/>
      <c r="V143" s="141"/>
    </row>
    <row r="144" spans="1:22" s="69" customFormat="1" ht="12.75" x14ac:dyDescent="0.2">
      <c r="A144" s="185" t="s">
        <v>84</v>
      </c>
      <c r="B144" s="182"/>
      <c r="C144" s="182"/>
      <c r="D144" s="182"/>
      <c r="E144" s="182"/>
      <c r="F144" s="182"/>
      <c r="G144" s="182"/>
      <c r="H144" s="182"/>
      <c r="I144" s="182"/>
      <c r="J144" s="183"/>
      <c r="K144" s="141"/>
      <c r="L144" s="185" t="s">
        <v>84</v>
      </c>
      <c r="M144" s="182"/>
      <c r="N144" s="182"/>
      <c r="O144" s="182"/>
      <c r="P144" s="182"/>
      <c r="Q144" s="182"/>
      <c r="R144" s="182"/>
      <c r="S144" s="182"/>
      <c r="T144" s="182"/>
      <c r="U144" s="182"/>
      <c r="V144" s="141"/>
    </row>
    <row r="145" spans="1:22" s="69" customFormat="1" ht="50.1" customHeight="1" x14ac:dyDescent="0.2">
      <c r="V145" s="71"/>
    </row>
    <row r="146" spans="1:22" s="69" customFormat="1" ht="50.1" customHeight="1" x14ac:dyDescent="0.2">
      <c r="V146" s="71"/>
    </row>
    <row r="147" spans="1:22" s="69" customFormat="1" ht="20.100000000000001" customHeight="1" x14ac:dyDescent="0.2">
      <c r="A147" s="877" t="str">
        <f>$A$1</f>
        <v>Circuit Décathlon</v>
      </c>
      <c r="B147" s="878"/>
      <c r="C147" s="878"/>
      <c r="D147" s="878"/>
      <c r="E147" s="878"/>
      <c r="F147" s="878"/>
      <c r="G147" s="878"/>
      <c r="H147" s="878"/>
      <c r="I147" s="878"/>
      <c r="J147" s="879"/>
      <c r="K147" s="141"/>
      <c r="L147" s="877" t="str">
        <f>$A$1</f>
        <v>Circuit Décathlon</v>
      </c>
      <c r="M147" s="878"/>
      <c r="N147" s="878"/>
      <c r="O147" s="878"/>
      <c r="P147" s="878"/>
      <c r="Q147" s="878"/>
      <c r="R147" s="878"/>
      <c r="S147" s="878"/>
      <c r="T147" s="878"/>
      <c r="U147" s="879"/>
      <c r="V147" s="141"/>
    </row>
    <row r="148" spans="1:22" s="69" customFormat="1" ht="15.75" x14ac:dyDescent="0.2">
      <c r="A148" s="141"/>
      <c r="B148" s="71"/>
      <c r="C148" s="71"/>
      <c r="D148" s="142" t="s">
        <v>78</v>
      </c>
      <c r="E148" s="191">
        <f>Rens!F23</f>
        <v>0</v>
      </c>
      <c r="F148" s="71"/>
      <c r="G148" s="71"/>
      <c r="H148" s="71"/>
      <c r="I148" s="71"/>
      <c r="J148" s="143"/>
      <c r="K148" s="141"/>
      <c r="L148" s="141"/>
      <c r="M148" s="71"/>
      <c r="N148" s="71"/>
      <c r="O148" s="142" t="s">
        <v>78</v>
      </c>
      <c r="P148" s="191">
        <f>Rens!F24</f>
        <v>0</v>
      </c>
      <c r="Q148" s="71"/>
      <c r="R148" s="71"/>
      <c r="S148" s="71"/>
      <c r="T148" s="71"/>
      <c r="U148" s="71"/>
      <c r="V148" s="141"/>
    </row>
    <row r="149" spans="1:22" s="69" customFormat="1" ht="18.75" x14ac:dyDescent="0.2">
      <c r="A149" s="144" t="s">
        <v>79</v>
      </c>
      <c r="B149" s="145" t="str">
        <f>$B$3</f>
        <v>FEM</v>
      </c>
      <c r="C149" s="71"/>
      <c r="D149" s="71"/>
      <c r="E149" s="71"/>
      <c r="F149" s="71"/>
      <c r="G149" s="71"/>
      <c r="H149" s="71"/>
      <c r="I149" s="71"/>
      <c r="J149" s="143"/>
      <c r="K149" s="141"/>
      <c r="L149" s="144" t="s">
        <v>79</v>
      </c>
      <c r="M149" s="145" t="str">
        <f>$B$3</f>
        <v>FEM</v>
      </c>
      <c r="N149" s="71"/>
      <c r="O149" s="71"/>
      <c r="P149" s="71"/>
      <c r="Q149" s="71"/>
      <c r="R149" s="71"/>
      <c r="S149" s="71"/>
      <c r="T149" s="71"/>
      <c r="U149" s="71"/>
      <c r="V149" s="141"/>
    </row>
    <row r="150" spans="1:22" s="69" customFormat="1" ht="18.75" x14ac:dyDescent="0.2">
      <c r="A150" s="880" t="str">
        <f>A120</f>
        <v>1/4 Finale</v>
      </c>
      <c r="B150" s="876"/>
      <c r="C150" s="876"/>
      <c r="D150" s="876"/>
      <c r="E150" s="71"/>
      <c r="F150" s="71"/>
      <c r="G150" s="72" t="str">
        <f>Rens!E23</f>
        <v>E</v>
      </c>
      <c r="H150" s="71"/>
      <c r="I150" s="71"/>
      <c r="J150" s="143"/>
      <c r="K150" s="141"/>
      <c r="L150" s="880" t="str">
        <f>A150</f>
        <v>1/4 Finale</v>
      </c>
      <c r="M150" s="876"/>
      <c r="N150" s="876"/>
      <c r="O150" s="876"/>
      <c r="P150" s="71"/>
      <c r="Q150" s="71"/>
      <c r="R150" s="72" t="str">
        <f>Rens!E24</f>
        <v>F</v>
      </c>
      <c r="S150" s="71"/>
      <c r="T150" s="71"/>
      <c r="U150" s="71"/>
      <c r="V150" s="141"/>
    </row>
    <row r="151" spans="1:22" s="155" customFormat="1" ht="18.75" x14ac:dyDescent="0.2">
      <c r="A151" s="154"/>
      <c r="B151" s="187" t="str">
        <f>Tableau!J18</f>
        <v/>
      </c>
      <c r="C151" s="152"/>
      <c r="D151" s="152"/>
      <c r="E151" s="73" t="s">
        <v>142</v>
      </c>
      <c r="F151" s="72">
        <f>Rens!G23</f>
        <v>0</v>
      </c>
      <c r="G151" s="152"/>
      <c r="H151" s="152"/>
      <c r="I151" s="152"/>
      <c r="J151" s="153"/>
      <c r="K151" s="154"/>
      <c r="L151" s="154"/>
      <c r="M151" s="187" t="str">
        <f>Tableau!J10</f>
        <v/>
      </c>
      <c r="N151" s="152"/>
      <c r="O151" s="152"/>
      <c r="P151" s="73" t="s">
        <v>142</v>
      </c>
      <c r="Q151" s="72">
        <f>Rens!G24</f>
        <v>0</v>
      </c>
      <c r="R151" s="152"/>
      <c r="S151" s="152"/>
      <c r="T151" s="152"/>
      <c r="U151" s="152"/>
      <c r="V151" s="154"/>
    </row>
    <row r="152" spans="1:22" s="69" customFormat="1" ht="15.75" x14ac:dyDescent="0.2">
      <c r="A152" s="192" t="s">
        <v>80</v>
      </c>
      <c r="B152" s="150" t="str">
        <f>IF(B151="","",VLOOKUP(B151,liste!$A$9:$G$145,2,FALSE))</f>
        <v/>
      </c>
      <c r="C152" s="193"/>
      <c r="D152" s="193"/>
      <c r="E152" s="193"/>
      <c r="F152" s="193"/>
      <c r="G152" s="193"/>
      <c r="H152" s="193"/>
      <c r="I152" s="71"/>
      <c r="J152" s="143"/>
      <c r="K152" s="141"/>
      <c r="L152" s="192" t="s">
        <v>80</v>
      </c>
      <c r="M152" s="150" t="str">
        <f>IF(M151="","",VLOOKUP(M151,liste!$A$9:$G$145,2,FALSE))</f>
        <v/>
      </c>
      <c r="N152" s="193"/>
      <c r="O152" s="193"/>
      <c r="P152" s="193"/>
      <c r="Q152" s="193"/>
      <c r="R152" s="193"/>
      <c r="S152" s="193"/>
      <c r="T152" s="71"/>
      <c r="U152" s="71"/>
      <c r="V152" s="141"/>
    </row>
    <row r="153" spans="1:22" s="69" customFormat="1" ht="20.100000000000001" customHeight="1" x14ac:dyDescent="0.2">
      <c r="A153" s="141"/>
      <c r="D153" s="865" t="s">
        <v>19</v>
      </c>
      <c r="E153" s="866"/>
      <c r="F153" s="866"/>
      <c r="G153" s="866"/>
      <c r="H153" s="866"/>
      <c r="I153" s="866"/>
      <c r="J153" s="867"/>
      <c r="K153" s="141"/>
      <c r="L153" s="156"/>
      <c r="M153" s="157"/>
      <c r="N153" s="157"/>
      <c r="O153" s="865" t="s">
        <v>19</v>
      </c>
      <c r="P153" s="866"/>
      <c r="Q153" s="866"/>
      <c r="R153" s="866"/>
      <c r="S153" s="866"/>
      <c r="T153" s="866"/>
      <c r="U153" s="867"/>
      <c r="V153" s="141"/>
    </row>
    <row r="154" spans="1:22" s="69" customFormat="1" ht="20.100000000000001" customHeight="1" x14ac:dyDescent="0.2">
      <c r="A154" s="868" t="s">
        <v>81</v>
      </c>
      <c r="B154" s="869"/>
      <c r="C154" s="869"/>
      <c r="D154" s="158">
        <v>1</v>
      </c>
      <c r="E154" s="158">
        <v>2</v>
      </c>
      <c r="F154" s="158">
        <v>3</v>
      </c>
      <c r="G154" s="158">
        <v>4</v>
      </c>
      <c r="H154" s="158">
        <v>5</v>
      </c>
      <c r="I154" s="158">
        <v>6</v>
      </c>
      <c r="J154" s="158">
        <v>7</v>
      </c>
      <c r="K154" s="141"/>
      <c r="L154" s="868" t="s">
        <v>81</v>
      </c>
      <c r="M154" s="869"/>
      <c r="N154" s="869"/>
      <c r="O154" s="158">
        <v>1</v>
      </c>
      <c r="P154" s="158">
        <v>2</v>
      </c>
      <c r="Q154" s="158">
        <v>3</v>
      </c>
      <c r="R154" s="158">
        <v>4</v>
      </c>
      <c r="S154" s="158">
        <v>5</v>
      </c>
      <c r="T154" s="158">
        <v>6</v>
      </c>
      <c r="U154" s="159">
        <v>7</v>
      </c>
      <c r="V154" s="141"/>
    </row>
    <row r="155" spans="1:22" s="69" customFormat="1" ht="20.100000000000001" customHeight="1" x14ac:dyDescent="0.2">
      <c r="A155" s="160"/>
      <c r="B155" s="161"/>
      <c r="C155" s="161"/>
      <c r="D155" s="870" t="s">
        <v>87</v>
      </c>
      <c r="E155" s="871"/>
      <c r="F155" s="871"/>
      <c r="G155" s="871"/>
      <c r="H155" s="871"/>
      <c r="I155" s="871"/>
      <c r="J155" s="872"/>
      <c r="K155" s="141"/>
      <c r="L155" s="160"/>
      <c r="M155" s="161"/>
      <c r="N155" s="161"/>
      <c r="O155" s="870" t="s">
        <v>87</v>
      </c>
      <c r="P155" s="871"/>
      <c r="Q155" s="871"/>
      <c r="R155" s="871"/>
      <c r="S155" s="871"/>
      <c r="T155" s="871"/>
      <c r="U155" s="872"/>
      <c r="V155" s="141"/>
    </row>
    <row r="156" spans="1:22" s="69" customFormat="1" ht="18.75" x14ac:dyDescent="0.2">
      <c r="A156" s="162" t="str">
        <f>IF(Tableau!$R$20="","",Tableau!$R$20)</f>
        <v/>
      </c>
      <c r="C156" s="71"/>
      <c r="D156" s="164"/>
      <c r="E156" s="164"/>
      <c r="F156" s="164"/>
      <c r="G156" s="164"/>
      <c r="H156" s="164"/>
      <c r="I156" s="164"/>
      <c r="J156" s="164"/>
      <c r="K156" s="141"/>
      <c r="L156" s="162" t="str">
        <f>IF(Tableau!$R$26="","",Tableau!$R$26)</f>
        <v/>
      </c>
      <c r="N156" s="71"/>
      <c r="O156" s="164"/>
      <c r="P156" s="164"/>
      <c r="Q156" s="164"/>
      <c r="R156" s="164"/>
      <c r="S156" s="164"/>
      <c r="T156" s="164"/>
      <c r="U156" s="165"/>
      <c r="V156" s="141"/>
    </row>
    <row r="157" spans="1:22" s="69" customFormat="1" ht="20.100000000000001" customHeight="1" x14ac:dyDescent="0.2">
      <c r="A157" s="873" t="str">
        <f>IF(A156="","",VLOOKUP(A156,liste!$A$9:$G$145,2,FALSE))</f>
        <v/>
      </c>
      <c r="B157" s="874" t="e">
        <v>#N/A</v>
      </c>
      <c r="C157" s="874" t="e">
        <v>#N/A</v>
      </c>
      <c r="D157" s="163"/>
      <c r="E157" s="163"/>
      <c r="F157" s="163"/>
      <c r="G157" s="163"/>
      <c r="H157" s="163"/>
      <c r="I157" s="163"/>
      <c r="J157" s="163"/>
      <c r="K157" s="141"/>
      <c r="L157" s="873" t="str">
        <f>IF(L156="","",VLOOKUP(L156,liste!$A$9:$G$145,2,FALSE))</f>
        <v/>
      </c>
      <c r="M157" s="874" t="e">
        <v>#N/A</v>
      </c>
      <c r="N157" s="874" t="e">
        <v>#N/A</v>
      </c>
      <c r="O157" s="163"/>
      <c r="P157" s="163"/>
      <c r="Q157" s="163"/>
      <c r="R157" s="163"/>
      <c r="S157" s="163"/>
      <c r="T157" s="163"/>
      <c r="U157" s="141"/>
      <c r="V157" s="141"/>
    </row>
    <row r="158" spans="1:22" s="69" customFormat="1" ht="20.100000000000001" customHeight="1" x14ac:dyDescent="0.2">
      <c r="A158" s="154"/>
      <c r="B158" s="152"/>
      <c r="C158" s="166" t="str">
        <f>IF(A156="","",VLOOKUP(A156,liste!$A$9:$G$145,4,FALSE))</f>
        <v/>
      </c>
      <c r="D158" s="167"/>
      <c r="E158" s="167"/>
      <c r="F158" s="167"/>
      <c r="G158" s="167"/>
      <c r="H158" s="167"/>
      <c r="I158" s="167"/>
      <c r="J158" s="167"/>
      <c r="K158" s="141"/>
      <c r="L158" s="154"/>
      <c r="M158" s="152"/>
      <c r="N158" s="166" t="str">
        <f>IF(L156="","",VLOOKUP(L156,liste!$A$9:$G$145,4,FALSE))</f>
        <v/>
      </c>
      <c r="O158" s="167"/>
      <c r="P158" s="167"/>
      <c r="Q158" s="167"/>
      <c r="R158" s="167"/>
      <c r="S158" s="167"/>
      <c r="T158" s="167"/>
      <c r="U158" s="168"/>
      <c r="V158" s="141"/>
    </row>
    <row r="159" spans="1:22" s="69" customFormat="1" ht="15.75" x14ac:dyDescent="0.2">
      <c r="A159" s="188" t="str">
        <f>IF(A156="","",VLOOKUP(A156,liste!$A$9:$G$145,3,FALSE))</f>
        <v/>
      </c>
      <c r="B159" s="152"/>
      <c r="C159" s="152"/>
      <c r="D159" s="170"/>
      <c r="E159" s="170"/>
      <c r="F159" s="170"/>
      <c r="G159" s="170"/>
      <c r="H159" s="170"/>
      <c r="I159" s="171"/>
      <c r="J159" s="171"/>
      <c r="K159" s="141"/>
      <c r="L159" s="188" t="str">
        <f>IF(L156="","",VLOOKUP(L156,liste!$A$9:$G$145,3,FALSE))</f>
        <v/>
      </c>
      <c r="M159" s="152"/>
      <c r="N159" s="152"/>
      <c r="O159" s="170"/>
      <c r="P159" s="170"/>
      <c r="Q159" s="170"/>
      <c r="R159" s="170"/>
      <c r="S159" s="170"/>
      <c r="T159" s="171"/>
      <c r="U159" s="172"/>
      <c r="V159" s="141"/>
    </row>
    <row r="160" spans="1:22" s="69" customFormat="1" ht="12.75" x14ac:dyDescent="0.2">
      <c r="A160" s="141"/>
      <c r="B160" s="70" t="s">
        <v>9</v>
      </c>
      <c r="C160" s="71"/>
      <c r="D160" s="173"/>
      <c r="E160" s="173"/>
      <c r="F160" s="173"/>
      <c r="G160" s="173"/>
      <c r="H160" s="173"/>
      <c r="I160" s="174"/>
      <c r="J160" s="174"/>
      <c r="K160" s="141"/>
      <c r="L160" s="141"/>
      <c r="M160" s="70" t="s">
        <v>9</v>
      </c>
      <c r="N160" s="71"/>
      <c r="O160" s="173"/>
      <c r="P160" s="173"/>
      <c r="Q160" s="173"/>
      <c r="R160" s="173"/>
      <c r="S160" s="173"/>
      <c r="T160" s="174"/>
      <c r="U160" s="175"/>
      <c r="V160" s="141"/>
    </row>
    <row r="161" spans="1:22" s="69" customFormat="1" ht="18.75" x14ac:dyDescent="0.2">
      <c r="A161" s="162" t="str">
        <f>IF(Tableau!$R$22="","",Tableau!$R$22)</f>
        <v/>
      </c>
      <c r="B161" s="189"/>
      <c r="C161" s="71"/>
      <c r="D161" s="164"/>
      <c r="E161" s="164"/>
      <c r="F161" s="164"/>
      <c r="G161" s="164"/>
      <c r="H161" s="164"/>
      <c r="I161" s="164"/>
      <c r="J161" s="164"/>
      <c r="K161" s="141"/>
      <c r="L161" s="162" t="str">
        <f>IF(Tableau!$R$28="","",Tableau!$R$28)</f>
        <v/>
      </c>
      <c r="N161" s="71"/>
      <c r="O161" s="164"/>
      <c r="P161" s="164"/>
      <c r="Q161" s="164"/>
      <c r="R161" s="164"/>
      <c r="S161" s="164"/>
      <c r="T161" s="164"/>
      <c r="U161" s="165"/>
      <c r="V161" s="141"/>
    </row>
    <row r="162" spans="1:22" s="69" customFormat="1" ht="20.100000000000001" customHeight="1" x14ac:dyDescent="0.2">
      <c r="A162" s="873" t="str">
        <f>IF(A161="","",VLOOKUP(A161,liste!$A$9:$G$145,2,FALSE))</f>
        <v/>
      </c>
      <c r="B162" s="874" t="e">
        <v>#N/A</v>
      </c>
      <c r="C162" s="874" t="e">
        <v>#N/A</v>
      </c>
      <c r="D162" s="163"/>
      <c r="E162" s="163"/>
      <c r="F162" s="163"/>
      <c r="G162" s="163"/>
      <c r="H162" s="163"/>
      <c r="I162" s="163"/>
      <c r="J162" s="163"/>
      <c r="K162" s="141"/>
      <c r="L162" s="873" t="str">
        <f>IF(L161="","",VLOOKUP(L161,liste!$A$9:$G$145,2,FALSE))</f>
        <v/>
      </c>
      <c r="M162" s="874" t="e">
        <v>#N/A</v>
      </c>
      <c r="N162" s="874" t="e">
        <v>#N/A</v>
      </c>
      <c r="O162" s="163"/>
      <c r="P162" s="163"/>
      <c r="Q162" s="163"/>
      <c r="R162" s="163"/>
      <c r="S162" s="163"/>
      <c r="T162" s="163"/>
      <c r="U162" s="141"/>
      <c r="V162" s="141"/>
    </row>
    <row r="163" spans="1:22" s="69" customFormat="1" ht="20.100000000000001" customHeight="1" x14ac:dyDescent="0.2">
      <c r="A163" s="154"/>
      <c r="B163" s="152"/>
      <c r="C163" s="166" t="str">
        <f>IF(A161="","",VLOOKUP(A161,liste!$A$9:$G$145,4,FALSE))</f>
        <v/>
      </c>
      <c r="D163" s="167"/>
      <c r="E163" s="167"/>
      <c r="F163" s="167"/>
      <c r="G163" s="167"/>
      <c r="H163" s="167"/>
      <c r="I163" s="167"/>
      <c r="J163" s="167"/>
      <c r="K163" s="141"/>
      <c r="L163" s="154"/>
      <c r="M163" s="152"/>
      <c r="N163" s="166" t="str">
        <f>IF(L161="","",VLOOKUP(L161,liste!$A$9:$G$145,4,FALSE))</f>
        <v/>
      </c>
      <c r="O163" s="167"/>
      <c r="P163" s="167"/>
      <c r="Q163" s="167"/>
      <c r="R163" s="167"/>
      <c r="S163" s="167"/>
      <c r="T163" s="167"/>
      <c r="U163" s="168"/>
      <c r="V163" s="141"/>
    </row>
    <row r="164" spans="1:22" s="69" customFormat="1" ht="15.75" x14ac:dyDescent="0.2">
      <c r="A164" s="190" t="str">
        <f>IF(A161="","",VLOOKUP(A161,liste!$A$9:$G$145,3,FALSE))</f>
        <v/>
      </c>
      <c r="B164" s="152"/>
      <c r="C164" s="152"/>
      <c r="D164" s="170"/>
      <c r="E164" s="170"/>
      <c r="F164" s="170"/>
      <c r="G164" s="170"/>
      <c r="H164" s="170"/>
      <c r="I164" s="171"/>
      <c r="J164" s="171"/>
      <c r="K164" s="141"/>
      <c r="L164" s="188" t="str">
        <f>IF(L161="","",VLOOKUP(L161,liste!$A$9:$G$145,3,FALSE))</f>
        <v/>
      </c>
      <c r="M164" s="152"/>
      <c r="N164" s="152"/>
      <c r="O164" s="170"/>
      <c r="P164" s="170"/>
      <c r="Q164" s="170"/>
      <c r="R164" s="170"/>
      <c r="S164" s="170"/>
      <c r="T164" s="171"/>
      <c r="U164" s="172"/>
      <c r="V164" s="141"/>
    </row>
    <row r="165" spans="1:22" s="69" customFormat="1" ht="12.75" x14ac:dyDescent="0.2">
      <c r="A165" s="141"/>
      <c r="B165" s="71"/>
      <c r="C165" s="71"/>
      <c r="D165" s="173"/>
      <c r="E165" s="173"/>
      <c r="F165" s="173"/>
      <c r="G165" s="173"/>
      <c r="H165" s="173"/>
      <c r="I165" s="174"/>
      <c r="J165" s="174"/>
      <c r="K165" s="141"/>
      <c r="L165" s="141"/>
      <c r="M165" s="71"/>
      <c r="N165" s="71"/>
      <c r="O165" s="173"/>
      <c r="P165" s="173"/>
      <c r="Q165" s="173"/>
      <c r="R165" s="173"/>
      <c r="S165" s="173"/>
      <c r="T165" s="174"/>
      <c r="U165" s="175"/>
      <c r="V165" s="141"/>
    </row>
    <row r="166" spans="1:22" s="69" customFormat="1" ht="12.75" x14ac:dyDescent="0.2">
      <c r="A166" s="141"/>
      <c r="B166" s="71"/>
      <c r="C166" s="71"/>
      <c r="D166" s="71"/>
      <c r="E166" s="71"/>
      <c r="F166" s="71"/>
      <c r="G166" s="71"/>
      <c r="H166" s="71"/>
      <c r="I166" s="71"/>
      <c r="J166" s="143"/>
      <c r="K166" s="141"/>
      <c r="L166" s="141"/>
      <c r="M166" s="71"/>
      <c r="N166" s="71"/>
      <c r="O166" s="71"/>
      <c r="P166" s="71"/>
      <c r="Q166" s="71"/>
      <c r="R166" s="71"/>
      <c r="S166" s="71"/>
      <c r="T166" s="71"/>
      <c r="U166" s="71"/>
      <c r="V166" s="141"/>
    </row>
    <row r="167" spans="1:22" s="69" customFormat="1" ht="20.100000000000001" customHeight="1" x14ac:dyDescent="0.2">
      <c r="A167" s="863" t="s">
        <v>85</v>
      </c>
      <c r="B167" s="864"/>
      <c r="C167" s="864"/>
      <c r="D167" s="178" t="s">
        <v>72</v>
      </c>
      <c r="E167" s="178" t="s">
        <v>82</v>
      </c>
      <c r="F167" s="178" t="s">
        <v>83</v>
      </c>
      <c r="G167" s="71"/>
      <c r="H167" s="71"/>
      <c r="I167" s="71"/>
      <c r="J167" s="143"/>
      <c r="K167" s="141"/>
      <c r="L167" s="863" t="s">
        <v>85</v>
      </c>
      <c r="M167" s="864"/>
      <c r="N167" s="864"/>
      <c r="O167" s="178" t="s">
        <v>72</v>
      </c>
      <c r="P167" s="178" t="s">
        <v>82</v>
      </c>
      <c r="Q167" s="178" t="s">
        <v>83</v>
      </c>
      <c r="R167" s="71"/>
      <c r="S167" s="71"/>
      <c r="T167" s="71"/>
      <c r="U167" s="71"/>
      <c r="V167" s="141"/>
    </row>
    <row r="168" spans="1:22" s="69" customFormat="1" ht="20.100000000000001" customHeight="1" x14ac:dyDescent="0.2">
      <c r="A168" s="179" t="str">
        <f>A157</f>
        <v/>
      </c>
      <c r="B168" s="180"/>
      <c r="C168" s="181"/>
      <c r="D168" s="164"/>
      <c r="E168" s="164"/>
      <c r="F168" s="164"/>
      <c r="G168" s="71"/>
      <c r="H168" s="71"/>
      <c r="I168" s="71"/>
      <c r="J168" s="143"/>
      <c r="K168" s="141"/>
      <c r="L168" s="179" t="str">
        <f>L157</f>
        <v/>
      </c>
      <c r="M168" s="180"/>
      <c r="N168" s="181"/>
      <c r="O168" s="164"/>
      <c r="P168" s="164"/>
      <c r="Q168" s="164"/>
      <c r="R168" s="71"/>
      <c r="S168" s="71"/>
      <c r="T168" s="71"/>
      <c r="U168" s="71"/>
      <c r="V168" s="141"/>
    </row>
    <row r="169" spans="1:22" s="69" customFormat="1" ht="20.100000000000001" customHeight="1" x14ac:dyDescent="0.2">
      <c r="A169" s="168"/>
      <c r="B169" s="182"/>
      <c r="C169" s="183"/>
      <c r="D169" s="167"/>
      <c r="E169" s="167"/>
      <c r="F169" s="167"/>
      <c r="G169" s="71"/>
      <c r="H169" s="71"/>
      <c r="I169" s="71"/>
      <c r="J169" s="143"/>
      <c r="K169" s="141"/>
      <c r="L169" s="168"/>
      <c r="M169" s="182"/>
      <c r="N169" s="183"/>
      <c r="O169" s="167"/>
      <c r="P169" s="167"/>
      <c r="Q169" s="167"/>
      <c r="R169" s="71"/>
      <c r="S169" s="71"/>
      <c r="T169" s="71"/>
      <c r="U169" s="71"/>
      <c r="V169" s="141"/>
    </row>
    <row r="170" spans="1:22" s="69" customFormat="1" ht="20.100000000000001" customHeight="1" x14ac:dyDescent="0.2">
      <c r="A170" s="179" t="str">
        <f>A162</f>
        <v/>
      </c>
      <c r="B170" s="180"/>
      <c r="C170" s="181"/>
      <c r="D170" s="164"/>
      <c r="E170" s="164"/>
      <c r="F170" s="164"/>
      <c r="G170" s="71"/>
      <c r="H170" s="71"/>
      <c r="I170" s="71"/>
      <c r="J170" s="143"/>
      <c r="K170" s="141"/>
      <c r="L170" s="179" t="str">
        <f>L162</f>
        <v/>
      </c>
      <c r="M170" s="180"/>
      <c r="N170" s="181"/>
      <c r="O170" s="164"/>
      <c r="P170" s="164"/>
      <c r="Q170" s="164"/>
      <c r="R170" s="71"/>
      <c r="S170" s="71"/>
      <c r="T170" s="71"/>
      <c r="U170" s="71"/>
      <c r="V170" s="141"/>
    </row>
    <row r="171" spans="1:22" s="69" customFormat="1" ht="20.100000000000001" customHeight="1" x14ac:dyDescent="0.2">
      <c r="A171" s="168"/>
      <c r="B171" s="182"/>
      <c r="C171" s="183"/>
      <c r="D171" s="167"/>
      <c r="E171" s="167"/>
      <c r="F171" s="167"/>
      <c r="G171" s="71"/>
      <c r="H171" s="71"/>
      <c r="I171" s="71"/>
      <c r="J171" s="143"/>
      <c r="K171" s="141"/>
      <c r="L171" s="168"/>
      <c r="M171" s="182"/>
      <c r="N171" s="183"/>
      <c r="O171" s="167"/>
      <c r="P171" s="167"/>
      <c r="Q171" s="167"/>
      <c r="R171" s="71"/>
      <c r="S171" s="71"/>
      <c r="T171" s="71"/>
      <c r="U171" s="71"/>
      <c r="V171" s="141"/>
    </row>
    <row r="172" spans="1:22" s="69" customFormat="1" ht="12.75" x14ac:dyDescent="0.2">
      <c r="A172" s="184" t="s">
        <v>86</v>
      </c>
      <c r="B172" s="71"/>
      <c r="C172" s="71"/>
      <c r="D172" s="71"/>
      <c r="E172" s="71"/>
      <c r="F172" s="71"/>
      <c r="G172" s="71"/>
      <c r="H172" s="71"/>
      <c r="I172" s="71"/>
      <c r="J172" s="143"/>
      <c r="K172" s="141"/>
      <c r="L172" s="184" t="s">
        <v>86</v>
      </c>
      <c r="M172" s="71"/>
      <c r="N172" s="71"/>
      <c r="O172" s="71"/>
      <c r="P172" s="71"/>
      <c r="Q172" s="71"/>
      <c r="R172" s="71"/>
      <c r="S172" s="71"/>
      <c r="T172" s="71"/>
      <c r="U172" s="71"/>
      <c r="V172" s="141"/>
    </row>
    <row r="173" spans="1:22" s="69" customFormat="1" ht="12.75" x14ac:dyDescent="0.2">
      <c r="A173" s="141"/>
      <c r="B173" s="71"/>
      <c r="C173" s="71"/>
      <c r="D173" s="71"/>
      <c r="E173" s="71"/>
      <c r="F173" s="71"/>
      <c r="G173" s="71"/>
      <c r="H173" s="71"/>
      <c r="I173" s="71"/>
      <c r="J173" s="143"/>
      <c r="K173" s="141"/>
      <c r="L173" s="141"/>
      <c r="M173" s="71"/>
      <c r="N173" s="71"/>
      <c r="O173" s="71"/>
      <c r="P173" s="71"/>
      <c r="Q173" s="71"/>
      <c r="R173" s="71"/>
      <c r="S173" s="71"/>
      <c r="T173" s="71"/>
      <c r="U173" s="71"/>
      <c r="V173" s="141"/>
    </row>
    <row r="174" spans="1:22" s="69" customFormat="1" ht="12.75" x14ac:dyDescent="0.2">
      <c r="A174" s="185" t="s">
        <v>84</v>
      </c>
      <c r="B174" s="182"/>
      <c r="C174" s="182"/>
      <c r="D174" s="182"/>
      <c r="E174" s="182"/>
      <c r="F174" s="182"/>
      <c r="G174" s="182"/>
      <c r="H174" s="182"/>
      <c r="I174" s="182"/>
      <c r="J174" s="183"/>
      <c r="K174" s="141"/>
      <c r="L174" s="185" t="s">
        <v>84</v>
      </c>
      <c r="M174" s="182"/>
      <c r="N174" s="182"/>
      <c r="O174" s="182"/>
      <c r="P174" s="182"/>
      <c r="Q174" s="182"/>
      <c r="R174" s="182"/>
      <c r="S174" s="182"/>
      <c r="T174" s="182"/>
      <c r="U174" s="182"/>
      <c r="V174" s="141"/>
    </row>
    <row r="175" spans="1:22" s="69" customFormat="1" ht="15.75" customHeight="1" x14ac:dyDescent="0.2">
      <c r="A175" s="877" t="str">
        <f>liste!$A$4</f>
        <v>Circuit Décathlon</v>
      </c>
      <c r="B175" s="878"/>
      <c r="C175" s="878"/>
      <c r="D175" s="878"/>
      <c r="E175" s="878"/>
      <c r="F175" s="878"/>
      <c r="G175" s="878"/>
      <c r="H175" s="878"/>
      <c r="I175" s="878"/>
      <c r="J175" s="879"/>
      <c r="K175" s="141"/>
      <c r="L175" s="877" t="str">
        <f>$A$1</f>
        <v>Circuit Décathlon</v>
      </c>
      <c r="M175" s="878"/>
      <c r="N175" s="878"/>
      <c r="O175" s="878"/>
      <c r="P175" s="878"/>
      <c r="Q175" s="878"/>
      <c r="R175" s="878"/>
      <c r="S175" s="878"/>
      <c r="T175" s="878"/>
      <c r="U175" s="879"/>
      <c r="V175" s="141"/>
    </row>
    <row r="176" spans="1:22" s="69" customFormat="1" ht="15.75" x14ac:dyDescent="0.2">
      <c r="A176" s="141"/>
      <c r="B176" s="71"/>
      <c r="C176" s="71"/>
      <c r="D176" s="142" t="s">
        <v>78</v>
      </c>
      <c r="E176" s="191">
        <f>Rens!B28</f>
        <v>0</v>
      </c>
      <c r="F176" s="71"/>
      <c r="G176" s="71"/>
      <c r="H176" s="71"/>
      <c r="I176" s="71"/>
      <c r="J176" s="143"/>
      <c r="K176" s="141"/>
      <c r="L176" s="141"/>
      <c r="M176" s="71"/>
      <c r="N176" s="71"/>
      <c r="O176" s="142" t="s">
        <v>78</v>
      </c>
      <c r="P176" s="191">
        <f>Rens!B29</f>
        <v>0</v>
      </c>
      <c r="Q176" s="71"/>
      <c r="R176" s="71"/>
      <c r="S176" s="71"/>
      <c r="T176" s="71"/>
      <c r="U176" s="71"/>
      <c r="V176" s="141"/>
    </row>
    <row r="177" spans="1:22" s="69" customFormat="1" ht="18.75" x14ac:dyDescent="0.2">
      <c r="A177" s="144" t="s">
        <v>79</v>
      </c>
      <c r="B177" s="145" t="str">
        <f>liste!$A$6</f>
        <v>FEM</v>
      </c>
      <c r="C177" s="71"/>
      <c r="D177" s="71"/>
      <c r="E177" s="71"/>
      <c r="F177" s="71"/>
      <c r="G177" s="71"/>
      <c r="H177" s="71"/>
      <c r="I177" s="71"/>
      <c r="J177" s="143"/>
      <c r="K177" s="141"/>
      <c r="L177" s="144" t="s">
        <v>79</v>
      </c>
      <c r="M177" s="145" t="str">
        <f>$B$3</f>
        <v>FEM</v>
      </c>
      <c r="N177" s="71"/>
      <c r="O177" s="71"/>
      <c r="P177" s="71"/>
      <c r="Q177" s="71"/>
      <c r="R177" s="71"/>
      <c r="S177" s="71"/>
      <c r="T177" s="71"/>
      <c r="U177" s="71"/>
      <c r="V177" s="141"/>
    </row>
    <row r="178" spans="1:22" s="69" customFormat="1" ht="18.75" x14ac:dyDescent="0.2">
      <c r="A178" s="880" t="s">
        <v>157</v>
      </c>
      <c r="B178" s="876"/>
      <c r="C178" s="876"/>
      <c r="D178" s="876"/>
      <c r="E178" s="71"/>
      <c r="F178" s="71"/>
      <c r="G178" s="72" t="str">
        <f>Rens!A28</f>
        <v>I</v>
      </c>
      <c r="H178" s="71"/>
      <c r="I178" s="71"/>
      <c r="J178" s="143"/>
      <c r="K178" s="141"/>
      <c r="L178" s="880" t="str">
        <f>A178</f>
        <v>Places 9 à 12</v>
      </c>
      <c r="M178" s="876"/>
      <c r="N178" s="876"/>
      <c r="O178" s="876"/>
      <c r="P178" s="71"/>
      <c r="Q178" s="71"/>
      <c r="R178" s="72" t="str">
        <f>Rens!A29</f>
        <v>J</v>
      </c>
      <c r="S178" s="71"/>
      <c r="T178" s="71"/>
      <c r="U178" s="71"/>
      <c r="V178" s="141"/>
    </row>
    <row r="179" spans="1:22" s="155" customFormat="1" ht="18.75" x14ac:dyDescent="0.2">
      <c r="A179" s="154"/>
      <c r="B179" s="187" t="str">
        <f>Tableau!R28</f>
        <v/>
      </c>
      <c r="C179" s="152"/>
      <c r="D179" s="152"/>
      <c r="E179" s="73" t="s">
        <v>142</v>
      </c>
      <c r="F179" s="72">
        <f>Rens!C28</f>
        <v>0</v>
      </c>
      <c r="G179" s="152"/>
      <c r="H179" s="152"/>
      <c r="I179" s="152"/>
      <c r="J179" s="153"/>
      <c r="K179" s="154"/>
      <c r="L179" s="154"/>
      <c r="M179" s="187" t="str">
        <f>Tableau!R20</f>
        <v/>
      </c>
      <c r="N179" s="152"/>
      <c r="O179" s="152"/>
      <c r="P179" s="73" t="s">
        <v>142</v>
      </c>
      <c r="Q179" s="72">
        <f>Rens!C29</f>
        <v>0</v>
      </c>
      <c r="R179" s="152"/>
      <c r="S179" s="152"/>
      <c r="T179" s="152"/>
      <c r="U179" s="152"/>
      <c r="V179" s="154"/>
    </row>
    <row r="180" spans="1:22" s="69" customFormat="1" ht="15.75" x14ac:dyDescent="0.2">
      <c r="A180" s="192" t="s">
        <v>80</v>
      </c>
      <c r="B180" s="150" t="str">
        <f>IF(B179="","",VLOOKUP(B179,liste!$A$9:$G$145,2,FALSE))</f>
        <v/>
      </c>
      <c r="C180" s="193"/>
      <c r="D180" s="193"/>
      <c r="E180" s="193"/>
      <c r="F180" s="193"/>
      <c r="G180" s="193"/>
      <c r="H180" s="193"/>
      <c r="I180" s="71"/>
      <c r="J180" s="143"/>
      <c r="K180" s="141"/>
      <c r="L180" s="192" t="s">
        <v>80</v>
      </c>
      <c r="M180" s="150" t="str">
        <f>IF(M179="","",VLOOKUP(M179,liste!$A$9:$G$145,2,FALSE))</f>
        <v/>
      </c>
      <c r="N180" s="193"/>
      <c r="O180" s="193"/>
      <c r="P180" s="193"/>
      <c r="Q180" s="193"/>
      <c r="R180" s="193"/>
      <c r="S180" s="193"/>
      <c r="T180" s="71"/>
      <c r="U180" s="71"/>
      <c r="V180" s="141"/>
    </row>
    <row r="181" spans="1:22" s="69" customFormat="1" ht="20.100000000000001" customHeight="1" x14ac:dyDescent="0.2">
      <c r="A181" s="141"/>
      <c r="B181" s="71"/>
      <c r="C181" s="71"/>
      <c r="D181" s="865" t="s">
        <v>19</v>
      </c>
      <c r="E181" s="866"/>
      <c r="F181" s="866"/>
      <c r="G181" s="866"/>
      <c r="H181" s="866"/>
      <c r="I181" s="866"/>
      <c r="J181" s="867"/>
      <c r="K181" s="141"/>
      <c r="L181" s="156"/>
      <c r="M181" s="157"/>
      <c r="N181" s="157"/>
      <c r="O181" s="865" t="s">
        <v>19</v>
      </c>
      <c r="P181" s="866"/>
      <c r="Q181" s="866"/>
      <c r="R181" s="866"/>
      <c r="S181" s="866"/>
      <c r="T181" s="866"/>
      <c r="U181" s="867"/>
      <c r="V181" s="141"/>
    </row>
    <row r="182" spans="1:22" s="69" customFormat="1" ht="20.100000000000001" customHeight="1" x14ac:dyDescent="0.2">
      <c r="A182" s="868" t="s">
        <v>81</v>
      </c>
      <c r="B182" s="869"/>
      <c r="C182" s="869"/>
      <c r="D182" s="158">
        <v>1</v>
      </c>
      <c r="E182" s="158">
        <v>2</v>
      </c>
      <c r="F182" s="158">
        <v>3</v>
      </c>
      <c r="G182" s="158">
        <v>4</v>
      </c>
      <c r="H182" s="158">
        <v>5</v>
      </c>
      <c r="I182" s="158">
        <v>6</v>
      </c>
      <c r="J182" s="158">
        <v>7</v>
      </c>
      <c r="K182" s="141"/>
      <c r="L182" s="868" t="s">
        <v>81</v>
      </c>
      <c r="M182" s="869"/>
      <c r="N182" s="869"/>
      <c r="O182" s="158">
        <v>1</v>
      </c>
      <c r="P182" s="158">
        <v>2</v>
      </c>
      <c r="Q182" s="158">
        <v>3</v>
      </c>
      <c r="R182" s="158">
        <v>4</v>
      </c>
      <c r="S182" s="158">
        <v>5</v>
      </c>
      <c r="T182" s="158">
        <v>6</v>
      </c>
      <c r="U182" s="159">
        <v>7</v>
      </c>
      <c r="V182" s="141"/>
    </row>
    <row r="183" spans="1:22" s="69" customFormat="1" ht="20.100000000000001" customHeight="1" x14ac:dyDescent="0.2">
      <c r="A183" s="160"/>
      <c r="B183" s="161"/>
      <c r="C183" s="161"/>
      <c r="D183" s="870" t="s">
        <v>87</v>
      </c>
      <c r="E183" s="871"/>
      <c r="F183" s="871"/>
      <c r="G183" s="871"/>
      <c r="H183" s="871"/>
      <c r="I183" s="871"/>
      <c r="J183" s="872"/>
      <c r="K183" s="141"/>
      <c r="L183" s="160"/>
      <c r="M183" s="161"/>
      <c r="N183" s="161"/>
      <c r="O183" s="870" t="s">
        <v>87</v>
      </c>
      <c r="P183" s="871"/>
      <c r="Q183" s="871"/>
      <c r="R183" s="871"/>
      <c r="S183" s="871"/>
      <c r="T183" s="871"/>
      <c r="U183" s="872"/>
      <c r="V183" s="141"/>
    </row>
    <row r="184" spans="1:22" s="69" customFormat="1" ht="18.75" x14ac:dyDescent="0.2">
      <c r="A184" s="162" t="str">
        <f>IF(Tableau!G11="","",Tableau!G11)</f>
        <v/>
      </c>
      <c r="B184" s="71"/>
      <c r="C184" s="71"/>
      <c r="D184" s="163"/>
      <c r="E184" s="163"/>
      <c r="F184" s="163"/>
      <c r="G184" s="163"/>
      <c r="H184" s="163"/>
      <c r="I184" s="163"/>
      <c r="J184" s="163"/>
      <c r="K184" s="141"/>
      <c r="L184" s="162" t="str">
        <f>IF(Tableau!G21="","",Tableau!G21)</f>
        <v/>
      </c>
      <c r="M184" s="71"/>
      <c r="N184" s="71"/>
      <c r="O184" s="164"/>
      <c r="P184" s="164"/>
      <c r="Q184" s="164"/>
      <c r="R184" s="164"/>
      <c r="S184" s="164"/>
      <c r="T184" s="164"/>
      <c r="U184" s="165"/>
      <c r="V184" s="141"/>
    </row>
    <row r="185" spans="1:22" s="69" customFormat="1" ht="20.100000000000001" customHeight="1" x14ac:dyDescent="0.2">
      <c r="A185" s="873" t="str">
        <f>IF(A184="","",VLOOKUP(A184,liste!$A$9:$G$145,2,FALSE))</f>
        <v/>
      </c>
      <c r="B185" s="874" t="e">
        <v>#N/A</v>
      </c>
      <c r="C185" s="874" t="e">
        <v>#N/A</v>
      </c>
      <c r="D185" s="163"/>
      <c r="E185" s="163"/>
      <c r="F185" s="163"/>
      <c r="G185" s="163"/>
      <c r="H185" s="163"/>
      <c r="I185" s="163"/>
      <c r="J185" s="163"/>
      <c r="K185" s="141"/>
      <c r="L185" s="873" t="str">
        <f>IF(L184="","",VLOOKUP(L184,liste!$A$9:$G$145,2,FALSE))</f>
        <v/>
      </c>
      <c r="M185" s="874" t="e">
        <v>#N/A</v>
      </c>
      <c r="N185" s="874" t="e">
        <v>#N/A</v>
      </c>
      <c r="O185" s="163"/>
      <c r="P185" s="163"/>
      <c r="Q185" s="163"/>
      <c r="R185" s="163"/>
      <c r="S185" s="163"/>
      <c r="T185" s="163"/>
      <c r="U185" s="141"/>
      <c r="V185" s="141"/>
    </row>
    <row r="186" spans="1:22" s="69" customFormat="1" ht="20.100000000000001" customHeight="1" x14ac:dyDescent="0.2">
      <c r="A186" s="154"/>
      <c r="B186" s="152"/>
      <c r="C186" s="166" t="str">
        <f>IF(A184="","",VLOOKUP(A184,liste!$A$9:$G$145,4,FALSE))</f>
        <v/>
      </c>
      <c r="D186" s="167"/>
      <c r="E186" s="167"/>
      <c r="F186" s="167"/>
      <c r="G186" s="167"/>
      <c r="H186" s="167"/>
      <c r="I186" s="167"/>
      <c r="J186" s="167"/>
      <c r="K186" s="141"/>
      <c r="L186" s="154"/>
      <c r="M186" s="152"/>
      <c r="N186" s="166" t="str">
        <f>IF(L184="","",VLOOKUP(L184,liste!$A$9:$G$145,4,FALSE))</f>
        <v/>
      </c>
      <c r="O186" s="167"/>
      <c r="P186" s="167"/>
      <c r="Q186" s="167"/>
      <c r="R186" s="167"/>
      <c r="S186" s="167"/>
      <c r="T186" s="167"/>
      <c r="U186" s="168"/>
      <c r="V186" s="141"/>
    </row>
    <row r="187" spans="1:22" s="69" customFormat="1" ht="15.75" x14ac:dyDescent="0.2">
      <c r="A187" s="169" t="str">
        <f>IF(A184="","",VLOOKUP(A184,liste!$A$9:$G$145,3,FALSE))</f>
        <v/>
      </c>
      <c r="B187" s="152"/>
      <c r="C187" s="152"/>
      <c r="D187" s="170"/>
      <c r="E187" s="170"/>
      <c r="F187" s="170"/>
      <c r="G187" s="170"/>
      <c r="H187" s="170"/>
      <c r="I187" s="171"/>
      <c r="J187" s="171"/>
      <c r="K187" s="141"/>
      <c r="L187" s="169" t="str">
        <f>IF(L184="","",VLOOKUP(L184,liste!$A$9:$G$145,3,FALSE))</f>
        <v/>
      </c>
      <c r="M187" s="152"/>
      <c r="N187" s="152"/>
      <c r="O187" s="170"/>
      <c r="P187" s="170"/>
      <c r="Q187" s="170"/>
      <c r="R187" s="170"/>
      <c r="S187" s="170"/>
      <c r="T187" s="171"/>
      <c r="U187" s="172"/>
      <c r="V187" s="141"/>
    </row>
    <row r="188" spans="1:22" s="69" customFormat="1" ht="12.75" x14ac:dyDescent="0.2">
      <c r="A188" s="141"/>
      <c r="B188" s="70" t="s">
        <v>9</v>
      </c>
      <c r="C188" s="71"/>
      <c r="D188" s="173"/>
      <c r="E188" s="173"/>
      <c r="F188" s="173"/>
      <c r="G188" s="173"/>
      <c r="H188" s="173"/>
      <c r="I188" s="174"/>
      <c r="J188" s="174"/>
      <c r="K188" s="141"/>
      <c r="L188" s="141"/>
      <c r="M188" s="70" t="s">
        <v>9</v>
      </c>
      <c r="N188" s="71"/>
      <c r="O188" s="173"/>
      <c r="P188" s="173"/>
      <c r="Q188" s="173"/>
      <c r="R188" s="173"/>
      <c r="S188" s="173"/>
      <c r="T188" s="174"/>
      <c r="U188" s="175"/>
      <c r="V188" s="141"/>
    </row>
    <row r="189" spans="1:22" s="69" customFormat="1" ht="18.75" x14ac:dyDescent="0.2">
      <c r="A189" s="162" t="str">
        <f>IF(Tableau!G17="","",Tableau!G17)</f>
        <v/>
      </c>
      <c r="B189" s="71"/>
      <c r="C189" s="71"/>
      <c r="D189" s="164"/>
      <c r="E189" s="164"/>
      <c r="F189" s="164"/>
      <c r="G189" s="164"/>
      <c r="H189" s="164"/>
      <c r="I189" s="164"/>
      <c r="J189" s="164"/>
      <c r="K189" s="141"/>
      <c r="L189" s="162" t="str">
        <f>IF(Tableau!G27="","",Tableau!G27)</f>
        <v/>
      </c>
      <c r="M189" s="71"/>
      <c r="N189" s="71"/>
      <c r="O189" s="164"/>
      <c r="P189" s="164"/>
      <c r="Q189" s="164"/>
      <c r="R189" s="164"/>
      <c r="S189" s="164"/>
      <c r="T189" s="164"/>
      <c r="U189" s="165"/>
      <c r="V189" s="141"/>
    </row>
    <row r="190" spans="1:22" s="69" customFormat="1" ht="20.100000000000001" customHeight="1" x14ac:dyDescent="0.2">
      <c r="A190" s="873" t="str">
        <f>IF(A189="","",VLOOKUP(A189,liste!$A$9:$G$145,2,FALSE))</f>
        <v/>
      </c>
      <c r="B190" s="874" t="e">
        <v>#N/A</v>
      </c>
      <c r="C190" s="874" t="e">
        <v>#N/A</v>
      </c>
      <c r="D190" s="163"/>
      <c r="E190" s="163"/>
      <c r="F190" s="163"/>
      <c r="G190" s="163"/>
      <c r="H190" s="163"/>
      <c r="I190" s="163"/>
      <c r="J190" s="163"/>
      <c r="K190" s="141"/>
      <c r="L190" s="873" t="str">
        <f>IF(L189="","",VLOOKUP(L189,liste!$A$9:$G$145,2,FALSE))</f>
        <v/>
      </c>
      <c r="M190" s="874" t="e">
        <v>#N/A</v>
      </c>
      <c r="N190" s="874" t="e">
        <v>#N/A</v>
      </c>
      <c r="O190" s="163"/>
      <c r="P190" s="163"/>
      <c r="Q190" s="163"/>
      <c r="R190" s="163"/>
      <c r="S190" s="163"/>
      <c r="T190" s="163"/>
      <c r="U190" s="141"/>
      <c r="V190" s="141"/>
    </row>
    <row r="191" spans="1:22" s="69" customFormat="1" ht="20.100000000000001" customHeight="1" x14ac:dyDescent="0.2">
      <c r="A191" s="154"/>
      <c r="B191" s="152"/>
      <c r="C191" s="166" t="str">
        <f>IF(A189="","",VLOOKUP(A189,liste!$A$9:$G$145,4,FALSE))</f>
        <v/>
      </c>
      <c r="D191" s="167"/>
      <c r="E191" s="167"/>
      <c r="F191" s="167"/>
      <c r="G191" s="167"/>
      <c r="H191" s="167"/>
      <c r="I191" s="167"/>
      <c r="J191" s="167"/>
      <c r="K191" s="141"/>
      <c r="L191" s="154"/>
      <c r="M191" s="152"/>
      <c r="N191" s="166" t="str">
        <f>IF(L189="","",VLOOKUP(L189,liste!$A$9:$G$145,4,FALSE))</f>
        <v/>
      </c>
      <c r="O191" s="167"/>
      <c r="P191" s="167"/>
      <c r="Q191" s="167"/>
      <c r="R191" s="167"/>
      <c r="S191" s="167"/>
      <c r="T191" s="167"/>
      <c r="U191" s="168"/>
      <c r="V191" s="141"/>
    </row>
    <row r="192" spans="1:22" s="69" customFormat="1" ht="15.75" x14ac:dyDescent="0.2">
      <c r="A192" s="169" t="str">
        <f>IF(A189="","",VLOOKUP(A189,liste!$A$9:$G$145,3,FALSE))</f>
        <v/>
      </c>
      <c r="B192" s="152"/>
      <c r="C192" s="152"/>
      <c r="D192" s="170"/>
      <c r="E192" s="170"/>
      <c r="F192" s="170"/>
      <c r="G192" s="170"/>
      <c r="H192" s="170"/>
      <c r="I192" s="171"/>
      <c r="J192" s="171"/>
      <c r="K192" s="141"/>
      <c r="L192" s="169" t="str">
        <f>IF(L189="","",VLOOKUP(L189,liste!$A$9:$G$145,3,FALSE))</f>
        <v/>
      </c>
      <c r="M192" s="152"/>
      <c r="N192" s="152"/>
      <c r="O192" s="170"/>
      <c r="P192" s="170"/>
      <c r="Q192" s="170"/>
      <c r="R192" s="170"/>
      <c r="S192" s="170"/>
      <c r="T192" s="171"/>
      <c r="U192" s="172"/>
      <c r="V192" s="141"/>
    </row>
    <row r="193" spans="1:22" s="69" customFormat="1" ht="12.75" x14ac:dyDescent="0.2">
      <c r="A193" s="141"/>
      <c r="B193" s="71"/>
      <c r="C193" s="71"/>
      <c r="D193" s="173"/>
      <c r="E193" s="173"/>
      <c r="F193" s="173"/>
      <c r="G193" s="173"/>
      <c r="H193" s="173"/>
      <c r="I193" s="174"/>
      <c r="J193" s="174"/>
      <c r="K193" s="141"/>
      <c r="L193" s="141"/>
      <c r="M193" s="71"/>
      <c r="N193" s="71"/>
      <c r="O193" s="173"/>
      <c r="P193" s="173"/>
      <c r="Q193" s="173"/>
      <c r="R193" s="173"/>
      <c r="S193" s="173"/>
      <c r="T193" s="174"/>
      <c r="U193" s="175"/>
      <c r="V193" s="141"/>
    </row>
    <row r="194" spans="1:22" s="69" customFormat="1" ht="12.75" x14ac:dyDescent="0.2">
      <c r="A194" s="141"/>
      <c r="B194" s="71"/>
      <c r="C194" s="71"/>
      <c r="D194" s="71"/>
      <c r="E194" s="71"/>
      <c r="F194" s="71"/>
      <c r="G194" s="71"/>
      <c r="H194" s="71"/>
      <c r="I194" s="71"/>
      <c r="J194" s="143"/>
      <c r="K194" s="141"/>
      <c r="L194" s="141"/>
      <c r="M194" s="71"/>
      <c r="N194" s="71"/>
      <c r="O194" s="71"/>
      <c r="P194" s="71"/>
      <c r="Q194" s="71"/>
      <c r="R194" s="71"/>
      <c r="S194" s="71"/>
      <c r="T194" s="71"/>
      <c r="U194" s="71"/>
      <c r="V194" s="141"/>
    </row>
    <row r="195" spans="1:22" s="69" customFormat="1" ht="20.100000000000001" customHeight="1" x14ac:dyDescent="0.2">
      <c r="A195" s="863" t="s">
        <v>85</v>
      </c>
      <c r="B195" s="864"/>
      <c r="C195" s="864"/>
      <c r="D195" s="178" t="s">
        <v>72</v>
      </c>
      <c r="E195" s="178" t="s">
        <v>82</v>
      </c>
      <c r="F195" s="178" t="s">
        <v>83</v>
      </c>
      <c r="G195" s="71"/>
      <c r="H195" s="71"/>
      <c r="I195" s="71"/>
      <c r="J195" s="143"/>
      <c r="K195" s="141"/>
      <c r="L195" s="863" t="s">
        <v>85</v>
      </c>
      <c r="M195" s="864"/>
      <c r="N195" s="864"/>
      <c r="O195" s="178" t="s">
        <v>72</v>
      </c>
      <c r="P195" s="178" t="s">
        <v>82</v>
      </c>
      <c r="Q195" s="178" t="s">
        <v>83</v>
      </c>
      <c r="R195" s="71"/>
      <c r="S195" s="71"/>
      <c r="T195" s="71"/>
      <c r="U195" s="71"/>
      <c r="V195" s="141"/>
    </row>
    <row r="196" spans="1:22" s="69" customFormat="1" ht="20.100000000000001" customHeight="1" x14ac:dyDescent="0.2">
      <c r="A196" s="179" t="str">
        <f>A185</f>
        <v/>
      </c>
      <c r="B196" s="180"/>
      <c r="C196" s="181"/>
      <c r="D196" s="164"/>
      <c r="E196" s="164"/>
      <c r="F196" s="164"/>
      <c r="G196" s="71"/>
      <c r="H196" s="71"/>
      <c r="I196" s="71"/>
      <c r="J196" s="143"/>
      <c r="K196" s="141"/>
      <c r="L196" s="179" t="str">
        <f>L185</f>
        <v/>
      </c>
      <c r="M196" s="180"/>
      <c r="N196" s="181"/>
      <c r="O196" s="164"/>
      <c r="P196" s="164"/>
      <c r="Q196" s="164"/>
      <c r="R196" s="71"/>
      <c r="S196" s="71"/>
      <c r="T196" s="71"/>
      <c r="U196" s="71"/>
      <c r="V196" s="141"/>
    </row>
    <row r="197" spans="1:22" s="69" customFormat="1" ht="20.100000000000001" customHeight="1" x14ac:dyDescent="0.2">
      <c r="A197" s="168"/>
      <c r="B197" s="182"/>
      <c r="C197" s="183"/>
      <c r="D197" s="167"/>
      <c r="E197" s="167"/>
      <c r="F197" s="167"/>
      <c r="G197" s="71"/>
      <c r="H197" s="71"/>
      <c r="I197" s="71"/>
      <c r="J197" s="143"/>
      <c r="K197" s="141"/>
      <c r="L197" s="168"/>
      <c r="M197" s="182"/>
      <c r="N197" s="183"/>
      <c r="O197" s="167"/>
      <c r="P197" s="167"/>
      <c r="Q197" s="167"/>
      <c r="R197" s="71"/>
      <c r="S197" s="71"/>
      <c r="T197" s="71"/>
      <c r="U197" s="71"/>
      <c r="V197" s="141"/>
    </row>
    <row r="198" spans="1:22" s="69" customFormat="1" ht="20.100000000000001" customHeight="1" x14ac:dyDescent="0.2">
      <c r="A198" s="179" t="str">
        <f>A190</f>
        <v/>
      </c>
      <c r="B198" s="180"/>
      <c r="C198" s="181"/>
      <c r="D198" s="164"/>
      <c r="E198" s="164"/>
      <c r="F198" s="164"/>
      <c r="G198" s="71"/>
      <c r="H198" s="71"/>
      <c r="I198" s="71"/>
      <c r="J198" s="143"/>
      <c r="K198" s="141"/>
      <c r="L198" s="179" t="str">
        <f>L190</f>
        <v/>
      </c>
      <c r="M198" s="180"/>
      <c r="N198" s="181"/>
      <c r="O198" s="164"/>
      <c r="P198" s="164"/>
      <c r="Q198" s="164"/>
      <c r="R198" s="71"/>
      <c r="S198" s="71"/>
      <c r="T198" s="71"/>
      <c r="U198" s="71"/>
      <c r="V198" s="141"/>
    </row>
    <row r="199" spans="1:22" s="69" customFormat="1" ht="20.100000000000001" customHeight="1" x14ac:dyDescent="0.2">
      <c r="A199" s="168"/>
      <c r="B199" s="182"/>
      <c r="C199" s="183"/>
      <c r="D199" s="167"/>
      <c r="E199" s="167"/>
      <c r="F199" s="167"/>
      <c r="G199" s="71"/>
      <c r="H199" s="71"/>
      <c r="I199" s="71"/>
      <c r="J199" s="143"/>
      <c r="K199" s="141"/>
      <c r="L199" s="168"/>
      <c r="M199" s="182"/>
      <c r="N199" s="183"/>
      <c r="O199" s="167"/>
      <c r="P199" s="167"/>
      <c r="Q199" s="167"/>
      <c r="R199" s="71"/>
      <c r="S199" s="71"/>
      <c r="T199" s="71"/>
      <c r="U199" s="71"/>
      <c r="V199" s="141"/>
    </row>
    <row r="200" spans="1:22" s="69" customFormat="1" ht="12.75" x14ac:dyDescent="0.2">
      <c r="A200" s="184" t="s">
        <v>86</v>
      </c>
      <c r="B200" s="71"/>
      <c r="C200" s="71"/>
      <c r="D200" s="71"/>
      <c r="E200" s="71"/>
      <c r="F200" s="71"/>
      <c r="G200" s="71"/>
      <c r="H200" s="71"/>
      <c r="I200" s="71"/>
      <c r="J200" s="143"/>
      <c r="K200" s="141"/>
      <c r="L200" s="184" t="s">
        <v>86</v>
      </c>
      <c r="M200" s="71"/>
      <c r="N200" s="71"/>
      <c r="O200" s="71"/>
      <c r="P200" s="71"/>
      <c r="Q200" s="71"/>
      <c r="R200" s="71"/>
      <c r="S200" s="71"/>
      <c r="T200" s="71"/>
      <c r="U200" s="71"/>
      <c r="V200" s="141"/>
    </row>
    <row r="201" spans="1:22" s="69" customFormat="1" ht="12.75" x14ac:dyDescent="0.2">
      <c r="A201" s="141"/>
      <c r="B201" s="71"/>
      <c r="C201" s="71"/>
      <c r="D201" s="71"/>
      <c r="E201" s="71"/>
      <c r="F201" s="71"/>
      <c r="G201" s="71"/>
      <c r="H201" s="71"/>
      <c r="I201" s="71"/>
      <c r="J201" s="143"/>
      <c r="K201" s="141"/>
      <c r="L201" s="141"/>
      <c r="M201" s="71"/>
      <c r="N201" s="71"/>
      <c r="O201" s="71"/>
      <c r="P201" s="71"/>
      <c r="Q201" s="71"/>
      <c r="R201" s="71"/>
      <c r="S201" s="71"/>
      <c r="T201" s="71"/>
      <c r="U201" s="71"/>
      <c r="V201" s="141"/>
    </row>
    <row r="202" spans="1:22" s="69" customFormat="1" ht="12.75" x14ac:dyDescent="0.2">
      <c r="A202" s="185" t="s">
        <v>84</v>
      </c>
      <c r="B202" s="182"/>
      <c r="C202" s="182"/>
      <c r="D202" s="182"/>
      <c r="E202" s="182"/>
      <c r="F202" s="182"/>
      <c r="G202" s="182"/>
      <c r="H202" s="182"/>
      <c r="I202" s="182"/>
      <c r="J202" s="183"/>
      <c r="K202" s="141"/>
      <c r="L202" s="185" t="s">
        <v>84</v>
      </c>
      <c r="M202" s="182"/>
      <c r="N202" s="182"/>
      <c r="O202" s="182"/>
      <c r="P202" s="182"/>
      <c r="Q202" s="182"/>
      <c r="R202" s="182"/>
      <c r="S202" s="182"/>
      <c r="T202" s="182"/>
      <c r="U202" s="182"/>
      <c r="V202" s="141"/>
    </row>
    <row r="203" spans="1:22" s="69" customFormat="1" ht="50.1" customHeight="1" x14ac:dyDescent="0.2">
      <c r="V203" s="71"/>
    </row>
    <row r="204" spans="1:22" s="69" customFormat="1" ht="50.1" customHeight="1" x14ac:dyDescent="0.2">
      <c r="V204" s="71"/>
    </row>
    <row r="205" spans="1:22" s="69" customFormat="1" ht="20.100000000000001" customHeight="1" x14ac:dyDescent="0.2">
      <c r="A205" s="877" t="str">
        <f>$A$1</f>
        <v>Circuit Décathlon</v>
      </c>
      <c r="B205" s="878"/>
      <c r="C205" s="878"/>
      <c r="D205" s="878"/>
      <c r="E205" s="878"/>
      <c r="F205" s="878"/>
      <c r="G205" s="878"/>
      <c r="H205" s="878"/>
      <c r="I205" s="878"/>
      <c r="J205" s="879"/>
      <c r="K205" s="141"/>
      <c r="L205" s="877" t="str">
        <f>$A$1</f>
        <v>Circuit Décathlon</v>
      </c>
      <c r="M205" s="878"/>
      <c r="N205" s="878"/>
      <c r="O205" s="878"/>
      <c r="P205" s="878"/>
      <c r="Q205" s="878"/>
      <c r="R205" s="878"/>
      <c r="S205" s="878"/>
      <c r="T205" s="878"/>
      <c r="U205" s="879"/>
      <c r="V205" s="141"/>
    </row>
    <row r="206" spans="1:22" s="69" customFormat="1" ht="15.75" x14ac:dyDescent="0.2">
      <c r="A206" s="141"/>
      <c r="B206" s="71"/>
      <c r="C206" s="71"/>
      <c r="D206" s="142" t="s">
        <v>78</v>
      </c>
      <c r="E206" s="191">
        <f>Rens!B31</f>
        <v>0</v>
      </c>
      <c r="F206" s="71"/>
      <c r="G206" s="71"/>
      <c r="H206" s="71"/>
      <c r="I206" s="71"/>
      <c r="J206" s="143"/>
      <c r="K206" s="141"/>
      <c r="L206" s="141"/>
      <c r="M206" s="71"/>
      <c r="N206" s="71"/>
      <c r="O206" s="142" t="s">
        <v>78</v>
      </c>
      <c r="P206" s="191">
        <f>Rens!B32</f>
        <v>0</v>
      </c>
      <c r="Q206" s="71"/>
      <c r="R206" s="71"/>
      <c r="S206" s="71"/>
      <c r="T206" s="71"/>
      <c r="U206" s="71"/>
      <c r="V206" s="141"/>
    </row>
    <row r="207" spans="1:22" s="69" customFormat="1" ht="18.75" x14ac:dyDescent="0.2">
      <c r="A207" s="144" t="s">
        <v>79</v>
      </c>
      <c r="B207" s="145" t="str">
        <f>$B$3</f>
        <v>FEM</v>
      </c>
      <c r="C207" s="71"/>
      <c r="D207" s="71"/>
      <c r="E207" s="71"/>
      <c r="F207" s="71"/>
      <c r="G207" s="71"/>
      <c r="H207" s="71"/>
      <c r="I207" s="71"/>
      <c r="J207" s="143"/>
      <c r="K207" s="141"/>
      <c r="L207" s="144" t="s">
        <v>79</v>
      </c>
      <c r="M207" s="145" t="str">
        <f>$B$3</f>
        <v>FEM</v>
      </c>
      <c r="N207" s="71"/>
      <c r="O207" s="71"/>
      <c r="P207" s="71"/>
      <c r="Q207" s="71"/>
      <c r="R207" s="71"/>
      <c r="S207" s="71"/>
      <c r="T207" s="71"/>
      <c r="U207" s="71"/>
      <c r="V207" s="141"/>
    </row>
    <row r="208" spans="1:22" s="69" customFormat="1" ht="18.75" x14ac:dyDescent="0.2">
      <c r="A208" s="880" t="s">
        <v>124</v>
      </c>
      <c r="B208" s="876"/>
      <c r="C208" s="876"/>
      <c r="D208" s="876"/>
      <c r="E208" s="71"/>
      <c r="F208" s="71"/>
      <c r="G208" s="72" t="str">
        <f>Rens!A31</f>
        <v>O</v>
      </c>
      <c r="H208" s="71"/>
      <c r="I208" s="71"/>
      <c r="J208" s="143"/>
      <c r="K208" s="141"/>
      <c r="L208" s="880" t="str">
        <f>A208</f>
        <v>Places 13 à 16</v>
      </c>
      <c r="M208" s="876"/>
      <c r="N208" s="876"/>
      <c r="O208" s="876"/>
      <c r="P208" s="71"/>
      <c r="Q208" s="71"/>
      <c r="R208" s="72" t="str">
        <f>Rens!A32</f>
        <v>P</v>
      </c>
      <c r="S208" s="71"/>
      <c r="T208" s="71"/>
      <c r="U208" s="71"/>
      <c r="V208" s="141"/>
    </row>
    <row r="209" spans="1:22" s="155" customFormat="1" ht="18.75" x14ac:dyDescent="0.2">
      <c r="A209" s="154"/>
      <c r="B209" s="187" t="str">
        <f>Tableau!R18</f>
        <v/>
      </c>
      <c r="C209" s="152"/>
      <c r="D209" s="152"/>
      <c r="E209" s="73" t="s">
        <v>142</v>
      </c>
      <c r="F209" s="72">
        <f>Rens!C31</f>
        <v>0</v>
      </c>
      <c r="G209" s="152"/>
      <c r="H209" s="152"/>
      <c r="I209" s="152"/>
      <c r="J209" s="153"/>
      <c r="K209" s="154"/>
      <c r="L209" s="154"/>
      <c r="M209" s="187" t="str">
        <f>Tableau!R10</f>
        <v/>
      </c>
      <c r="N209" s="152"/>
      <c r="O209" s="152"/>
      <c r="P209" s="73" t="s">
        <v>142</v>
      </c>
      <c r="Q209" s="72">
        <f>Rens!C32</f>
        <v>0</v>
      </c>
      <c r="R209" s="152"/>
      <c r="S209" s="152"/>
      <c r="T209" s="152"/>
      <c r="U209" s="152"/>
      <c r="V209" s="154"/>
    </row>
    <row r="210" spans="1:22" s="69" customFormat="1" ht="15.75" x14ac:dyDescent="0.2">
      <c r="A210" s="192" t="s">
        <v>80</v>
      </c>
      <c r="B210" s="150" t="str">
        <f>IF(B209="","",VLOOKUP(B209,liste!$A$9:$G$145,2,FALSE))</f>
        <v/>
      </c>
      <c r="C210" s="193"/>
      <c r="D210" s="193"/>
      <c r="E210" s="193"/>
      <c r="F210" s="193"/>
      <c r="G210" s="193"/>
      <c r="H210" s="193"/>
      <c r="I210" s="71"/>
      <c r="J210" s="143"/>
      <c r="K210" s="141"/>
      <c r="L210" s="192" t="s">
        <v>80</v>
      </c>
      <c r="M210" s="150" t="str">
        <f>IF(M209="","",VLOOKUP(M209,liste!$A$9:$G$145,2,FALSE))</f>
        <v/>
      </c>
      <c r="N210" s="193"/>
      <c r="O210" s="193"/>
      <c r="P210" s="193"/>
      <c r="Q210" s="193"/>
      <c r="R210" s="193"/>
      <c r="S210" s="193"/>
      <c r="T210" s="71"/>
      <c r="U210" s="71"/>
      <c r="V210" s="141"/>
    </row>
    <row r="211" spans="1:22" s="69" customFormat="1" ht="20.100000000000001" customHeight="1" x14ac:dyDescent="0.2">
      <c r="A211" s="141"/>
      <c r="D211" s="865" t="s">
        <v>19</v>
      </c>
      <c r="E211" s="866"/>
      <c r="F211" s="866"/>
      <c r="G211" s="866"/>
      <c r="H211" s="866"/>
      <c r="I211" s="866"/>
      <c r="J211" s="867"/>
      <c r="K211" s="141"/>
      <c r="L211" s="156"/>
      <c r="M211" s="157"/>
      <c r="N211" s="157"/>
      <c r="O211" s="865" t="s">
        <v>19</v>
      </c>
      <c r="P211" s="866"/>
      <c r="Q211" s="866"/>
      <c r="R211" s="866"/>
      <c r="S211" s="866"/>
      <c r="T211" s="866"/>
      <c r="U211" s="867"/>
      <c r="V211" s="141"/>
    </row>
    <row r="212" spans="1:22" s="69" customFormat="1" ht="20.100000000000001" customHeight="1" x14ac:dyDescent="0.2">
      <c r="A212" s="868" t="s">
        <v>81</v>
      </c>
      <c r="B212" s="869"/>
      <c r="C212" s="869"/>
      <c r="D212" s="158">
        <v>1</v>
      </c>
      <c r="E212" s="158">
        <v>2</v>
      </c>
      <c r="F212" s="158">
        <v>3</v>
      </c>
      <c r="G212" s="158">
        <v>4</v>
      </c>
      <c r="H212" s="158">
        <v>5</v>
      </c>
      <c r="I212" s="158">
        <v>6</v>
      </c>
      <c r="J212" s="158">
        <v>7</v>
      </c>
      <c r="K212" s="141"/>
      <c r="L212" s="868" t="s">
        <v>81</v>
      </c>
      <c r="M212" s="869"/>
      <c r="N212" s="869"/>
      <c r="O212" s="158">
        <v>1</v>
      </c>
      <c r="P212" s="158">
        <v>2</v>
      </c>
      <c r="Q212" s="158">
        <v>3</v>
      </c>
      <c r="R212" s="158">
        <v>4</v>
      </c>
      <c r="S212" s="158">
        <v>5</v>
      </c>
      <c r="T212" s="158">
        <v>6</v>
      </c>
      <c r="U212" s="159">
        <v>7</v>
      </c>
      <c r="V212" s="141"/>
    </row>
    <row r="213" spans="1:22" s="69" customFormat="1" ht="20.100000000000001" customHeight="1" x14ac:dyDescent="0.2">
      <c r="A213" s="160"/>
      <c r="B213" s="161"/>
      <c r="C213" s="161"/>
      <c r="D213" s="870" t="s">
        <v>87</v>
      </c>
      <c r="E213" s="871"/>
      <c r="F213" s="871"/>
      <c r="G213" s="871"/>
      <c r="H213" s="871"/>
      <c r="I213" s="871"/>
      <c r="J213" s="872"/>
      <c r="K213" s="141"/>
      <c r="L213" s="160"/>
      <c r="M213" s="161"/>
      <c r="N213" s="161"/>
      <c r="O213" s="870" t="s">
        <v>87</v>
      </c>
      <c r="P213" s="871"/>
      <c r="Q213" s="871"/>
      <c r="R213" s="871"/>
      <c r="S213" s="871"/>
      <c r="T213" s="871"/>
      <c r="U213" s="872"/>
      <c r="V213" s="141"/>
    </row>
    <row r="214" spans="1:22" s="69" customFormat="1" ht="18.75" x14ac:dyDescent="0.2">
      <c r="A214" s="162" t="str">
        <f>Tableau!G33</f>
        <v/>
      </c>
      <c r="C214" s="71"/>
      <c r="D214" s="164"/>
      <c r="E214" s="164"/>
      <c r="F214" s="164"/>
      <c r="G214" s="164"/>
      <c r="H214" s="164"/>
      <c r="I214" s="164"/>
      <c r="J214" s="164"/>
      <c r="K214" s="141"/>
      <c r="L214" s="162" t="str">
        <f>Tableau!G37</f>
        <v/>
      </c>
      <c r="N214" s="71"/>
      <c r="O214" s="164"/>
      <c r="P214" s="164"/>
      <c r="Q214" s="164"/>
      <c r="R214" s="164"/>
      <c r="S214" s="164"/>
      <c r="T214" s="164"/>
      <c r="U214" s="165"/>
      <c r="V214" s="141"/>
    </row>
    <row r="215" spans="1:22" s="69" customFormat="1" ht="20.100000000000001" customHeight="1" x14ac:dyDescent="0.2">
      <c r="A215" s="873" t="str">
        <f>IF(A214="","",VLOOKUP(A214,liste!$A$9:$G$145,2,FALSE))</f>
        <v/>
      </c>
      <c r="B215" s="874" t="e">
        <v>#N/A</v>
      </c>
      <c r="C215" s="874" t="e">
        <v>#N/A</v>
      </c>
      <c r="D215" s="163"/>
      <c r="E215" s="163"/>
      <c r="F215" s="163"/>
      <c r="G215" s="163"/>
      <c r="H215" s="163"/>
      <c r="I215" s="163"/>
      <c r="J215" s="163"/>
      <c r="K215" s="141"/>
      <c r="L215" s="873" t="str">
        <f>IF(L214="","",VLOOKUP(L214,liste!$A$9:$G$145,2,FALSE))</f>
        <v/>
      </c>
      <c r="M215" s="874" t="e">
        <v>#N/A</v>
      </c>
      <c r="N215" s="874" t="e">
        <v>#N/A</v>
      </c>
      <c r="O215" s="163"/>
      <c r="P215" s="163"/>
      <c r="Q215" s="163"/>
      <c r="R215" s="163"/>
      <c r="S215" s="163"/>
      <c r="T215" s="163"/>
      <c r="U215" s="141"/>
      <c r="V215" s="141"/>
    </row>
    <row r="216" spans="1:22" s="69" customFormat="1" ht="20.100000000000001" customHeight="1" x14ac:dyDescent="0.2">
      <c r="A216" s="154"/>
      <c r="B216" s="152"/>
      <c r="C216" s="166" t="str">
        <f>IF(A214="","",VLOOKUP(A214,liste!$A$9:$G$145,4,FALSE))</f>
        <v/>
      </c>
      <c r="D216" s="167"/>
      <c r="E216" s="167"/>
      <c r="F216" s="167"/>
      <c r="G216" s="167"/>
      <c r="H216" s="167"/>
      <c r="I216" s="167"/>
      <c r="J216" s="167"/>
      <c r="K216" s="141"/>
      <c r="L216" s="154"/>
      <c r="M216" s="152"/>
      <c r="N216" s="166" t="str">
        <f>IF(L214="","",VLOOKUP(L214,liste!$A$9:$G$145,4,FALSE))</f>
        <v/>
      </c>
      <c r="O216" s="167"/>
      <c r="P216" s="167"/>
      <c r="Q216" s="167"/>
      <c r="R216" s="167"/>
      <c r="S216" s="167"/>
      <c r="T216" s="167"/>
      <c r="U216" s="168"/>
      <c r="V216" s="141"/>
    </row>
    <row r="217" spans="1:22" s="69" customFormat="1" ht="15.75" x14ac:dyDescent="0.2">
      <c r="A217" s="188" t="str">
        <f>IF(A214="","",VLOOKUP(A214,liste!$A$9:$G$145,3,FALSE))</f>
        <v/>
      </c>
      <c r="B217" s="152"/>
      <c r="C217" s="152"/>
      <c r="D217" s="170"/>
      <c r="E217" s="170"/>
      <c r="F217" s="170"/>
      <c r="G217" s="170"/>
      <c r="H217" s="170"/>
      <c r="I217" s="171"/>
      <c r="J217" s="171"/>
      <c r="K217" s="141"/>
      <c r="L217" s="188" t="str">
        <f>IF(L214="","",VLOOKUP(L214,liste!$A$9:$G$145,3,FALSE))</f>
        <v/>
      </c>
      <c r="M217" s="152"/>
      <c r="N217" s="152"/>
      <c r="O217" s="170"/>
      <c r="P217" s="170"/>
      <c r="Q217" s="170"/>
      <c r="R217" s="170"/>
      <c r="S217" s="170"/>
      <c r="T217" s="171"/>
      <c r="U217" s="172"/>
      <c r="V217" s="141"/>
    </row>
    <row r="218" spans="1:22" s="69" customFormat="1" ht="12.75" x14ac:dyDescent="0.2">
      <c r="A218" s="141"/>
      <c r="B218" s="70" t="s">
        <v>9</v>
      </c>
      <c r="C218" s="71"/>
      <c r="D218" s="173"/>
      <c r="E218" s="173"/>
      <c r="F218" s="173"/>
      <c r="G218" s="173"/>
      <c r="H218" s="173"/>
      <c r="I218" s="174"/>
      <c r="J218" s="174"/>
      <c r="K218" s="141"/>
      <c r="L218" s="141"/>
      <c r="M218" s="70" t="s">
        <v>9</v>
      </c>
      <c r="N218" s="71"/>
      <c r="O218" s="173"/>
      <c r="P218" s="173"/>
      <c r="Q218" s="173"/>
      <c r="R218" s="173"/>
      <c r="S218" s="173"/>
      <c r="T218" s="174"/>
      <c r="U218" s="175"/>
      <c r="V218" s="141"/>
    </row>
    <row r="219" spans="1:22" s="69" customFormat="1" ht="18.75" x14ac:dyDescent="0.2">
      <c r="A219" s="162" t="str">
        <f>Tableau!G35</f>
        <v/>
      </c>
      <c r="B219" s="189"/>
      <c r="C219" s="71"/>
      <c r="D219" s="164"/>
      <c r="E219" s="164"/>
      <c r="F219" s="164"/>
      <c r="G219" s="164"/>
      <c r="H219" s="164"/>
      <c r="I219" s="164"/>
      <c r="J219" s="164"/>
      <c r="K219" s="141"/>
      <c r="L219" s="162" t="str">
        <f>Tableau!G39</f>
        <v/>
      </c>
      <c r="N219" s="71"/>
      <c r="O219" s="164"/>
      <c r="P219" s="164"/>
      <c r="Q219" s="164"/>
      <c r="R219" s="164"/>
      <c r="S219" s="164"/>
      <c r="T219" s="164"/>
      <c r="U219" s="165"/>
      <c r="V219" s="141"/>
    </row>
    <row r="220" spans="1:22" s="69" customFormat="1" ht="20.100000000000001" customHeight="1" x14ac:dyDescent="0.2">
      <c r="A220" s="873" t="str">
        <f>IF(A219="","",VLOOKUP(A219,liste!$A$9:$G$145,2,FALSE))</f>
        <v/>
      </c>
      <c r="B220" s="874" t="e">
        <v>#N/A</v>
      </c>
      <c r="C220" s="874" t="e">
        <v>#N/A</v>
      </c>
      <c r="D220" s="163"/>
      <c r="E220" s="163"/>
      <c r="F220" s="163"/>
      <c r="G220" s="163"/>
      <c r="H220" s="163"/>
      <c r="I220" s="163"/>
      <c r="J220" s="163"/>
      <c r="K220" s="141"/>
      <c r="L220" s="873" t="str">
        <f>IF(L219="","",VLOOKUP(L219,liste!$A$9:$G$145,2,FALSE))</f>
        <v/>
      </c>
      <c r="M220" s="874" t="e">
        <v>#N/A</v>
      </c>
      <c r="N220" s="874" t="e">
        <v>#N/A</v>
      </c>
      <c r="O220" s="163"/>
      <c r="P220" s="163"/>
      <c r="Q220" s="163"/>
      <c r="R220" s="163"/>
      <c r="S220" s="163"/>
      <c r="T220" s="163"/>
      <c r="U220" s="141"/>
      <c r="V220" s="141"/>
    </row>
    <row r="221" spans="1:22" s="69" customFormat="1" ht="20.100000000000001" customHeight="1" x14ac:dyDescent="0.2">
      <c r="A221" s="154"/>
      <c r="B221" s="152"/>
      <c r="C221" s="166" t="str">
        <f>IF(A219="","",VLOOKUP(A219,liste!$A$9:$G$145,4,FALSE))</f>
        <v/>
      </c>
      <c r="D221" s="167"/>
      <c r="E221" s="167"/>
      <c r="F221" s="167"/>
      <c r="G221" s="167"/>
      <c r="H221" s="167"/>
      <c r="I221" s="167"/>
      <c r="J221" s="167"/>
      <c r="K221" s="141"/>
      <c r="L221" s="154"/>
      <c r="M221" s="152"/>
      <c r="N221" s="166" t="str">
        <f>IF(L219="","",VLOOKUP(L219,liste!$A$9:$G$145,4,FALSE))</f>
        <v/>
      </c>
      <c r="O221" s="167"/>
      <c r="P221" s="167"/>
      <c r="Q221" s="167"/>
      <c r="R221" s="167"/>
      <c r="S221" s="167"/>
      <c r="T221" s="167"/>
      <c r="U221" s="168"/>
      <c r="V221" s="141"/>
    </row>
    <row r="222" spans="1:22" s="69" customFormat="1" ht="15.75" x14ac:dyDescent="0.2">
      <c r="A222" s="190" t="str">
        <f>IF(A219="","",VLOOKUP(A219,liste!$A$9:$G$145,3,FALSE))</f>
        <v/>
      </c>
      <c r="B222" s="152"/>
      <c r="C222" s="152"/>
      <c r="D222" s="170"/>
      <c r="E222" s="170"/>
      <c r="F222" s="170"/>
      <c r="G222" s="170"/>
      <c r="H222" s="170"/>
      <c r="I222" s="171"/>
      <c r="J222" s="171"/>
      <c r="K222" s="141"/>
      <c r="L222" s="188" t="str">
        <f>IF(L219="","",VLOOKUP(L219,liste!$A$9:$G$145,3,FALSE))</f>
        <v/>
      </c>
      <c r="M222" s="152"/>
      <c r="N222" s="152"/>
      <c r="O222" s="170"/>
      <c r="P222" s="170"/>
      <c r="Q222" s="170"/>
      <c r="R222" s="170"/>
      <c r="S222" s="170"/>
      <c r="T222" s="171"/>
      <c r="U222" s="172"/>
      <c r="V222" s="141"/>
    </row>
    <row r="223" spans="1:22" s="69" customFormat="1" ht="12.75" x14ac:dyDescent="0.2">
      <c r="A223" s="141"/>
      <c r="B223" s="71"/>
      <c r="C223" s="71"/>
      <c r="D223" s="173"/>
      <c r="E223" s="173"/>
      <c r="F223" s="173"/>
      <c r="G223" s="173"/>
      <c r="H223" s="173"/>
      <c r="I223" s="174"/>
      <c r="J223" s="174"/>
      <c r="K223" s="141"/>
      <c r="L223" s="141"/>
      <c r="M223" s="71"/>
      <c r="N223" s="71"/>
      <c r="O223" s="173"/>
      <c r="P223" s="173"/>
      <c r="Q223" s="173"/>
      <c r="R223" s="173"/>
      <c r="S223" s="173"/>
      <c r="T223" s="174"/>
      <c r="U223" s="175"/>
      <c r="V223" s="141"/>
    </row>
    <row r="224" spans="1:22" s="69" customFormat="1" ht="12.75" x14ac:dyDescent="0.2">
      <c r="A224" s="141"/>
      <c r="B224" s="71"/>
      <c r="C224" s="71"/>
      <c r="D224" s="71"/>
      <c r="E224" s="71"/>
      <c r="F224" s="71"/>
      <c r="G224" s="71"/>
      <c r="H224" s="71"/>
      <c r="I224" s="71"/>
      <c r="J224" s="143"/>
      <c r="K224" s="141"/>
      <c r="L224" s="141"/>
      <c r="M224" s="71"/>
      <c r="N224" s="71"/>
      <c r="O224" s="71"/>
      <c r="P224" s="71"/>
      <c r="Q224" s="71"/>
      <c r="R224" s="71"/>
      <c r="S224" s="71"/>
      <c r="T224" s="71"/>
      <c r="U224" s="71"/>
      <c r="V224" s="141"/>
    </row>
    <row r="225" spans="1:22" s="69" customFormat="1" ht="20.100000000000001" customHeight="1" x14ac:dyDescent="0.2">
      <c r="A225" s="863" t="s">
        <v>85</v>
      </c>
      <c r="B225" s="864"/>
      <c r="C225" s="864"/>
      <c r="D225" s="178" t="s">
        <v>72</v>
      </c>
      <c r="E225" s="178" t="s">
        <v>82</v>
      </c>
      <c r="F225" s="178" t="s">
        <v>83</v>
      </c>
      <c r="G225" s="71"/>
      <c r="H225" s="71"/>
      <c r="I225" s="71"/>
      <c r="J225" s="143"/>
      <c r="K225" s="141"/>
      <c r="L225" s="863" t="s">
        <v>85</v>
      </c>
      <c r="M225" s="864"/>
      <c r="N225" s="864"/>
      <c r="O225" s="178" t="s">
        <v>72</v>
      </c>
      <c r="P225" s="178" t="s">
        <v>82</v>
      </c>
      <c r="Q225" s="178" t="s">
        <v>83</v>
      </c>
      <c r="R225" s="71"/>
      <c r="S225" s="71"/>
      <c r="T225" s="71"/>
      <c r="U225" s="71"/>
      <c r="V225" s="141"/>
    </row>
    <row r="226" spans="1:22" s="69" customFormat="1" ht="20.100000000000001" customHeight="1" x14ac:dyDescent="0.2">
      <c r="A226" s="179" t="str">
        <f>A215</f>
        <v/>
      </c>
      <c r="B226" s="180"/>
      <c r="C226" s="181"/>
      <c r="D226" s="164"/>
      <c r="E226" s="164"/>
      <c r="F226" s="164"/>
      <c r="G226" s="71"/>
      <c r="H226" s="71"/>
      <c r="I226" s="71"/>
      <c r="J226" s="143"/>
      <c r="K226" s="141"/>
      <c r="L226" s="179" t="str">
        <f>L215</f>
        <v/>
      </c>
      <c r="M226" s="180"/>
      <c r="N226" s="181"/>
      <c r="O226" s="164"/>
      <c r="P226" s="164"/>
      <c r="Q226" s="164"/>
      <c r="R226" s="71"/>
      <c r="S226" s="71"/>
      <c r="T226" s="71"/>
      <c r="U226" s="71"/>
      <c r="V226" s="141"/>
    </row>
    <row r="227" spans="1:22" s="69" customFormat="1" ht="20.100000000000001" customHeight="1" x14ac:dyDescent="0.2">
      <c r="A227" s="168"/>
      <c r="B227" s="182"/>
      <c r="C227" s="183"/>
      <c r="D227" s="167"/>
      <c r="E227" s="167"/>
      <c r="F227" s="167"/>
      <c r="G227" s="71"/>
      <c r="H227" s="71"/>
      <c r="I227" s="71"/>
      <c r="J227" s="143"/>
      <c r="K227" s="141"/>
      <c r="L227" s="168"/>
      <c r="M227" s="182"/>
      <c r="N227" s="183"/>
      <c r="O227" s="167"/>
      <c r="P227" s="167"/>
      <c r="Q227" s="167"/>
      <c r="R227" s="71"/>
      <c r="S227" s="71"/>
      <c r="T227" s="71"/>
      <c r="U227" s="71"/>
      <c r="V227" s="141"/>
    </row>
    <row r="228" spans="1:22" s="69" customFormat="1" ht="20.100000000000001" customHeight="1" x14ac:dyDescent="0.2">
      <c r="A228" s="179" t="str">
        <f>A220</f>
        <v/>
      </c>
      <c r="B228" s="180"/>
      <c r="C228" s="181"/>
      <c r="D228" s="164"/>
      <c r="E228" s="164"/>
      <c r="F228" s="164"/>
      <c r="G228" s="71"/>
      <c r="H228" s="71"/>
      <c r="I228" s="71"/>
      <c r="J228" s="143"/>
      <c r="K228" s="141"/>
      <c r="L228" s="179" t="str">
        <f>L220</f>
        <v/>
      </c>
      <c r="M228" s="180"/>
      <c r="N228" s="181"/>
      <c r="O228" s="164"/>
      <c r="P228" s="164"/>
      <c r="Q228" s="164"/>
      <c r="R228" s="71"/>
      <c r="S228" s="71"/>
      <c r="T228" s="71"/>
      <c r="U228" s="71"/>
      <c r="V228" s="141"/>
    </row>
    <row r="229" spans="1:22" s="69" customFormat="1" ht="20.100000000000001" customHeight="1" x14ac:dyDescent="0.2">
      <c r="A229" s="168"/>
      <c r="B229" s="182"/>
      <c r="C229" s="183"/>
      <c r="D229" s="167"/>
      <c r="E229" s="167"/>
      <c r="F229" s="167"/>
      <c r="G229" s="71"/>
      <c r="H229" s="71"/>
      <c r="I229" s="71"/>
      <c r="J229" s="143"/>
      <c r="K229" s="141"/>
      <c r="L229" s="168"/>
      <c r="M229" s="182"/>
      <c r="N229" s="183"/>
      <c r="O229" s="167"/>
      <c r="P229" s="167"/>
      <c r="Q229" s="167"/>
      <c r="R229" s="71"/>
      <c r="S229" s="71"/>
      <c r="T229" s="71"/>
      <c r="U229" s="71"/>
      <c r="V229" s="141"/>
    </row>
    <row r="230" spans="1:22" s="69" customFormat="1" ht="12.75" x14ac:dyDescent="0.2">
      <c r="A230" s="184" t="s">
        <v>86</v>
      </c>
      <c r="B230" s="71"/>
      <c r="C230" s="71"/>
      <c r="D230" s="71"/>
      <c r="E230" s="71"/>
      <c r="F230" s="71"/>
      <c r="G230" s="71"/>
      <c r="H230" s="71"/>
      <c r="I230" s="71"/>
      <c r="J230" s="143"/>
      <c r="K230" s="141"/>
      <c r="L230" s="184" t="s">
        <v>86</v>
      </c>
      <c r="M230" s="71"/>
      <c r="N230" s="71"/>
      <c r="O230" s="71"/>
      <c r="P230" s="71"/>
      <c r="Q230" s="71"/>
      <c r="R230" s="71"/>
      <c r="S230" s="71"/>
      <c r="T230" s="71"/>
      <c r="U230" s="71"/>
      <c r="V230" s="141"/>
    </row>
    <row r="231" spans="1:22" s="69" customFormat="1" ht="12.75" x14ac:dyDescent="0.2">
      <c r="A231" s="141"/>
      <c r="B231" s="71"/>
      <c r="C231" s="71"/>
      <c r="D231" s="71"/>
      <c r="E231" s="71"/>
      <c r="F231" s="71"/>
      <c r="G231" s="71"/>
      <c r="H231" s="71"/>
      <c r="I231" s="71"/>
      <c r="J231" s="143"/>
      <c r="K231" s="141"/>
      <c r="L231" s="141"/>
      <c r="M231" s="71"/>
      <c r="N231" s="71"/>
      <c r="O231" s="71"/>
      <c r="P231" s="71"/>
      <c r="Q231" s="71"/>
      <c r="R231" s="71"/>
      <c r="S231" s="71"/>
      <c r="T231" s="71"/>
      <c r="U231" s="71"/>
      <c r="V231" s="141"/>
    </row>
    <row r="232" spans="1:22" s="69" customFormat="1" ht="12.75" x14ac:dyDescent="0.2">
      <c r="A232" s="185" t="s">
        <v>84</v>
      </c>
      <c r="B232" s="182"/>
      <c r="C232" s="182"/>
      <c r="D232" s="182"/>
      <c r="E232" s="182"/>
      <c r="F232" s="182"/>
      <c r="G232" s="182"/>
      <c r="H232" s="182"/>
      <c r="I232" s="182"/>
      <c r="J232" s="183"/>
      <c r="K232" s="141"/>
      <c r="L232" s="185" t="s">
        <v>84</v>
      </c>
      <c r="M232" s="182"/>
      <c r="N232" s="182"/>
      <c r="O232" s="182"/>
      <c r="P232" s="182"/>
      <c r="Q232" s="182"/>
      <c r="R232" s="182"/>
      <c r="S232" s="182"/>
      <c r="T232" s="182"/>
      <c r="U232" s="182"/>
      <c r="V232" s="141"/>
    </row>
    <row r="233" spans="1:22" s="69" customFormat="1" ht="15.75" customHeight="1" x14ac:dyDescent="0.2">
      <c r="A233" s="877" t="str">
        <f>liste!$A$4</f>
        <v>Circuit Décathlon</v>
      </c>
      <c r="B233" s="878"/>
      <c r="C233" s="878"/>
      <c r="D233" s="878"/>
      <c r="E233" s="878"/>
      <c r="F233" s="878"/>
      <c r="G233" s="878"/>
      <c r="H233" s="878"/>
      <c r="I233" s="878"/>
      <c r="J233" s="879"/>
      <c r="K233" s="141"/>
      <c r="L233" s="877" t="str">
        <f>$A$1</f>
        <v>Circuit Décathlon</v>
      </c>
      <c r="M233" s="878"/>
      <c r="N233" s="878"/>
      <c r="O233" s="878"/>
      <c r="P233" s="878"/>
      <c r="Q233" s="878"/>
      <c r="R233" s="878"/>
      <c r="S233" s="878"/>
      <c r="T233" s="878"/>
      <c r="U233" s="879"/>
      <c r="V233" s="141"/>
    </row>
    <row r="234" spans="1:22" s="69" customFormat="1" ht="16.5" customHeight="1" x14ac:dyDescent="0.2">
      <c r="A234" s="141"/>
      <c r="B234" s="71"/>
      <c r="C234" s="71"/>
      <c r="D234" s="142" t="s">
        <v>78</v>
      </c>
      <c r="E234" s="191">
        <f>Rens!F28</f>
        <v>0</v>
      </c>
      <c r="F234" s="71"/>
      <c r="G234" s="71"/>
      <c r="H234" s="71"/>
      <c r="I234" s="71"/>
      <c r="J234" s="143"/>
      <c r="K234" s="141"/>
      <c r="L234" s="141"/>
      <c r="M234" s="71"/>
      <c r="N234" s="71"/>
      <c r="O234" s="142" t="s">
        <v>78</v>
      </c>
      <c r="P234" s="191">
        <f>Rens!F29</f>
        <v>0</v>
      </c>
      <c r="Q234" s="71"/>
      <c r="R234" s="71"/>
      <c r="S234" s="71"/>
      <c r="T234" s="71"/>
      <c r="U234" s="71"/>
      <c r="V234" s="141"/>
    </row>
    <row r="235" spans="1:22" s="69" customFormat="1" ht="18.75" x14ac:dyDescent="0.2">
      <c r="A235" s="144" t="s">
        <v>79</v>
      </c>
      <c r="B235" s="145" t="str">
        <f>liste!$A$6</f>
        <v>FEM</v>
      </c>
      <c r="C235" s="71"/>
      <c r="D235" s="71"/>
      <c r="E235" s="71"/>
      <c r="F235" s="71"/>
      <c r="G235" s="71"/>
      <c r="H235" s="71"/>
      <c r="I235" s="71"/>
      <c r="J235" s="143"/>
      <c r="K235" s="141"/>
      <c r="L235" s="144" t="s">
        <v>79</v>
      </c>
      <c r="M235" s="145" t="str">
        <f>$B$3</f>
        <v>FEM</v>
      </c>
      <c r="N235" s="71"/>
      <c r="O235" s="71"/>
      <c r="P235" s="71"/>
      <c r="Q235" s="71"/>
      <c r="R235" s="71"/>
      <c r="S235" s="71"/>
      <c r="T235" s="71"/>
      <c r="U235" s="71"/>
      <c r="V235" s="141"/>
    </row>
    <row r="236" spans="1:22" s="69" customFormat="1" ht="18.75" x14ac:dyDescent="0.2">
      <c r="A236" s="880" t="s">
        <v>92</v>
      </c>
      <c r="B236" s="876"/>
      <c r="C236" s="876"/>
      <c r="D236" s="876"/>
      <c r="E236" s="71"/>
      <c r="F236" s="71"/>
      <c r="G236" s="195" t="str">
        <f>Rens!E28</f>
        <v>A</v>
      </c>
      <c r="H236" s="71"/>
      <c r="I236" s="71"/>
      <c r="J236" s="143"/>
      <c r="K236" s="141"/>
      <c r="L236" s="880" t="str">
        <f>A236</f>
        <v>1/2 Finale</v>
      </c>
      <c r="M236" s="876"/>
      <c r="N236" s="876"/>
      <c r="O236" s="876"/>
      <c r="P236" s="71"/>
      <c r="Q236" s="71"/>
      <c r="R236" s="72" t="str">
        <f>Rens!E29</f>
        <v>B</v>
      </c>
      <c r="S236" s="71"/>
      <c r="T236" s="71"/>
      <c r="U236" s="71"/>
      <c r="V236" s="141"/>
    </row>
    <row r="237" spans="1:22" s="155" customFormat="1" ht="18.75" x14ac:dyDescent="0.2">
      <c r="A237" s="154"/>
      <c r="B237" s="187" t="str">
        <f>Tableau!J26</f>
        <v/>
      </c>
      <c r="C237" s="152"/>
      <c r="D237" s="152"/>
      <c r="E237" s="73" t="s">
        <v>142</v>
      </c>
      <c r="F237" s="72">
        <f>Rens!G28</f>
        <v>0</v>
      </c>
      <c r="G237" s="152"/>
      <c r="H237" s="152"/>
      <c r="I237" s="152"/>
      <c r="J237" s="153"/>
      <c r="K237" s="154"/>
      <c r="L237" s="154"/>
      <c r="M237" s="187" t="str">
        <f>Tableau!J22</f>
        <v/>
      </c>
      <c r="N237" s="152"/>
      <c r="O237" s="152"/>
      <c r="P237" s="73" t="s">
        <v>142</v>
      </c>
      <c r="Q237" s="72">
        <f>Rens!G29</f>
        <v>0</v>
      </c>
      <c r="R237" s="152"/>
      <c r="S237" s="152"/>
      <c r="T237" s="152"/>
      <c r="U237" s="152"/>
      <c r="V237" s="154"/>
    </row>
    <row r="238" spans="1:22" s="69" customFormat="1" ht="15.75" x14ac:dyDescent="0.2">
      <c r="A238" s="192" t="s">
        <v>80</v>
      </c>
      <c r="B238" s="150" t="str">
        <f>IF(B237="","",VLOOKUP(B237,liste!$A$9:$G$145,2,FALSE))</f>
        <v/>
      </c>
      <c r="C238" s="193"/>
      <c r="D238" s="193"/>
      <c r="E238" s="193"/>
      <c r="F238" s="193"/>
      <c r="G238" s="193"/>
      <c r="H238" s="193"/>
      <c r="I238" s="71"/>
      <c r="J238" s="143"/>
      <c r="K238" s="141"/>
      <c r="L238" s="192" t="s">
        <v>80</v>
      </c>
      <c r="M238" s="150" t="str">
        <f>IF(M237="","",VLOOKUP(M237,liste!$A$9:$G$145,2,FALSE))</f>
        <v/>
      </c>
      <c r="N238" s="193"/>
      <c r="O238" s="193"/>
      <c r="P238" s="193"/>
      <c r="Q238" s="193"/>
      <c r="R238" s="193"/>
      <c r="S238" s="193"/>
      <c r="T238" s="71"/>
      <c r="U238" s="71"/>
      <c r="V238" s="141"/>
    </row>
    <row r="239" spans="1:22" s="69" customFormat="1" ht="20.100000000000001" customHeight="1" x14ac:dyDescent="0.2">
      <c r="A239" s="141"/>
      <c r="B239" s="71"/>
      <c r="C239" s="71"/>
      <c r="D239" s="865" t="s">
        <v>19</v>
      </c>
      <c r="E239" s="866"/>
      <c r="F239" s="866"/>
      <c r="G239" s="866"/>
      <c r="H239" s="866"/>
      <c r="I239" s="866"/>
      <c r="J239" s="867"/>
      <c r="K239" s="141"/>
      <c r="L239" s="156"/>
      <c r="M239" s="157"/>
      <c r="N239" s="157"/>
      <c r="O239" s="865" t="s">
        <v>19</v>
      </c>
      <c r="P239" s="866"/>
      <c r="Q239" s="866"/>
      <c r="R239" s="866"/>
      <c r="S239" s="866"/>
      <c r="T239" s="866"/>
      <c r="U239" s="867"/>
      <c r="V239" s="141"/>
    </row>
    <row r="240" spans="1:22" s="69" customFormat="1" ht="20.100000000000001" customHeight="1" x14ac:dyDescent="0.2">
      <c r="A240" s="868" t="s">
        <v>81</v>
      </c>
      <c r="B240" s="869"/>
      <c r="C240" s="869"/>
      <c r="D240" s="158">
        <v>1</v>
      </c>
      <c r="E240" s="158">
        <v>2</v>
      </c>
      <c r="F240" s="158">
        <v>3</v>
      </c>
      <c r="G240" s="158">
        <v>4</v>
      </c>
      <c r="H240" s="158">
        <v>5</v>
      </c>
      <c r="I240" s="158">
        <v>6</v>
      </c>
      <c r="J240" s="158">
        <v>7</v>
      </c>
      <c r="K240" s="141"/>
      <c r="L240" s="868" t="s">
        <v>81</v>
      </c>
      <c r="M240" s="869"/>
      <c r="N240" s="869"/>
      <c r="O240" s="158">
        <v>1</v>
      </c>
      <c r="P240" s="158">
        <v>2</v>
      </c>
      <c r="Q240" s="158">
        <v>3</v>
      </c>
      <c r="R240" s="158">
        <v>4</v>
      </c>
      <c r="S240" s="158">
        <v>5</v>
      </c>
      <c r="T240" s="158">
        <v>6</v>
      </c>
      <c r="U240" s="159">
        <v>7</v>
      </c>
      <c r="V240" s="141"/>
    </row>
    <row r="241" spans="1:22" s="69" customFormat="1" ht="20.100000000000001" customHeight="1" x14ac:dyDescent="0.2">
      <c r="A241" s="160"/>
      <c r="B241" s="161"/>
      <c r="C241" s="161"/>
      <c r="D241" s="870" t="s">
        <v>87</v>
      </c>
      <c r="E241" s="871"/>
      <c r="F241" s="871"/>
      <c r="G241" s="871"/>
      <c r="H241" s="871"/>
      <c r="I241" s="871"/>
      <c r="J241" s="872"/>
      <c r="K241" s="141"/>
      <c r="L241" s="160"/>
      <c r="M241" s="161"/>
      <c r="N241" s="161"/>
      <c r="O241" s="870" t="s">
        <v>87</v>
      </c>
      <c r="P241" s="871"/>
      <c r="Q241" s="871"/>
      <c r="R241" s="871"/>
      <c r="S241" s="871"/>
      <c r="T241" s="871"/>
      <c r="U241" s="872"/>
      <c r="V241" s="141"/>
    </row>
    <row r="242" spans="1:22" s="69" customFormat="1" ht="18.75" x14ac:dyDescent="0.2">
      <c r="A242" s="162" t="str">
        <f>IF(Tableau!U11="","",Tableau!U11)</f>
        <v/>
      </c>
      <c r="B242" s="71"/>
      <c r="C242" s="71"/>
      <c r="D242" s="163"/>
      <c r="E242" s="163"/>
      <c r="F242" s="163"/>
      <c r="G242" s="163"/>
      <c r="H242" s="163"/>
      <c r="I242" s="163"/>
      <c r="J242" s="163"/>
      <c r="K242" s="141"/>
      <c r="L242" s="162" t="str">
        <f>IF(Tableau!U21="","",Tableau!U21)</f>
        <v/>
      </c>
      <c r="M242" s="71"/>
      <c r="N242" s="71"/>
      <c r="O242" s="164"/>
      <c r="P242" s="164"/>
      <c r="Q242" s="164"/>
      <c r="R242" s="164"/>
      <c r="S242" s="164"/>
      <c r="T242" s="164"/>
      <c r="U242" s="165"/>
      <c r="V242" s="141"/>
    </row>
    <row r="243" spans="1:22" s="69" customFormat="1" ht="20.100000000000001" customHeight="1" x14ac:dyDescent="0.2">
      <c r="A243" s="873" t="str">
        <f>IF(A242="","",VLOOKUP(A242,liste!$A$9:$G$145,2,FALSE))</f>
        <v/>
      </c>
      <c r="B243" s="874" t="e">
        <v>#N/A</v>
      </c>
      <c r="C243" s="874" t="e">
        <v>#N/A</v>
      </c>
      <c r="D243" s="163"/>
      <c r="E243" s="163"/>
      <c r="F243" s="163"/>
      <c r="G243" s="163"/>
      <c r="H243" s="163"/>
      <c r="I243" s="163"/>
      <c r="J243" s="163"/>
      <c r="K243" s="141"/>
      <c r="L243" s="873" t="str">
        <f>IF(L242="","",VLOOKUP(L242,liste!$A$9:$G$145,2,FALSE))</f>
        <v/>
      </c>
      <c r="M243" s="874" t="e">
        <v>#N/A</v>
      </c>
      <c r="N243" s="874" t="e">
        <v>#N/A</v>
      </c>
      <c r="O243" s="163"/>
      <c r="P243" s="163"/>
      <c r="Q243" s="163"/>
      <c r="R243" s="163"/>
      <c r="S243" s="163"/>
      <c r="T243" s="163"/>
      <c r="U243" s="141"/>
      <c r="V243" s="141"/>
    </row>
    <row r="244" spans="1:22" s="69" customFormat="1" ht="20.100000000000001" customHeight="1" x14ac:dyDescent="0.2">
      <c r="A244" s="154"/>
      <c r="B244" s="152"/>
      <c r="C244" s="166" t="str">
        <f>IF(A242="","",VLOOKUP(A242,liste!$A$9:$G$145,4,FALSE))</f>
        <v/>
      </c>
      <c r="D244" s="167"/>
      <c r="E244" s="167"/>
      <c r="F244" s="167"/>
      <c r="G244" s="167"/>
      <c r="H244" s="167"/>
      <c r="I244" s="167"/>
      <c r="J244" s="167"/>
      <c r="K244" s="141"/>
      <c r="L244" s="154"/>
      <c r="M244" s="152"/>
      <c r="N244" s="166" t="str">
        <f>IF(L242="","",VLOOKUP(L242,liste!$A$9:$G$145,4,FALSE))</f>
        <v/>
      </c>
      <c r="O244" s="167"/>
      <c r="P244" s="167"/>
      <c r="Q244" s="167"/>
      <c r="R244" s="167"/>
      <c r="S244" s="167"/>
      <c r="T244" s="167"/>
      <c r="U244" s="168"/>
      <c r="V244" s="141"/>
    </row>
    <row r="245" spans="1:22" s="69" customFormat="1" ht="15.75" x14ac:dyDescent="0.2">
      <c r="A245" s="169" t="str">
        <f>IF(A242="","",VLOOKUP(A242,liste!$A$9:$G$145,3,FALSE))</f>
        <v/>
      </c>
      <c r="B245" s="152"/>
      <c r="C245" s="152"/>
      <c r="D245" s="170"/>
      <c r="E245" s="170"/>
      <c r="F245" s="170"/>
      <c r="G245" s="170"/>
      <c r="H245" s="170"/>
      <c r="I245" s="171"/>
      <c r="J245" s="171"/>
      <c r="K245" s="141"/>
      <c r="L245" s="169" t="str">
        <f>IF(L242="","",VLOOKUP(L242,liste!$A$9:$G$145,3,FALSE))</f>
        <v/>
      </c>
      <c r="M245" s="152"/>
      <c r="N245" s="152"/>
      <c r="O245" s="170"/>
      <c r="P245" s="170"/>
      <c r="Q245" s="170"/>
      <c r="R245" s="170"/>
      <c r="S245" s="170"/>
      <c r="T245" s="171"/>
      <c r="U245" s="172"/>
      <c r="V245" s="141"/>
    </row>
    <row r="246" spans="1:22" s="69" customFormat="1" ht="12.75" x14ac:dyDescent="0.2">
      <c r="A246" s="141"/>
      <c r="B246" s="70" t="s">
        <v>9</v>
      </c>
      <c r="C246" s="71"/>
      <c r="D246" s="173"/>
      <c r="E246" s="173"/>
      <c r="F246" s="173"/>
      <c r="G246" s="173"/>
      <c r="H246" s="173"/>
      <c r="I246" s="174"/>
      <c r="J246" s="174"/>
      <c r="K246" s="141"/>
      <c r="L246" s="141"/>
      <c r="M246" s="70" t="s">
        <v>9</v>
      </c>
      <c r="N246" s="71"/>
      <c r="O246" s="173"/>
      <c r="P246" s="173"/>
      <c r="Q246" s="173"/>
      <c r="R246" s="173"/>
      <c r="S246" s="173"/>
      <c r="T246" s="174"/>
      <c r="U246" s="175"/>
      <c r="V246" s="141"/>
    </row>
    <row r="247" spans="1:22" s="69" customFormat="1" ht="18.75" x14ac:dyDescent="0.2">
      <c r="A247" s="162" t="str">
        <f>IF(Tableau!U17="","",Tableau!U17)</f>
        <v/>
      </c>
      <c r="B247" s="71"/>
      <c r="C247" s="71"/>
      <c r="D247" s="164"/>
      <c r="E247" s="164"/>
      <c r="F247" s="164"/>
      <c r="G247" s="164"/>
      <c r="H247" s="164"/>
      <c r="I247" s="164"/>
      <c r="J247" s="164"/>
      <c r="K247" s="141"/>
      <c r="L247" s="162" t="str">
        <f>IF(Tableau!U27="","",Tableau!U27)</f>
        <v/>
      </c>
      <c r="M247" s="71"/>
      <c r="N247" s="71"/>
      <c r="O247" s="164"/>
      <c r="P247" s="164"/>
      <c r="Q247" s="164"/>
      <c r="R247" s="164"/>
      <c r="S247" s="164"/>
      <c r="T247" s="164"/>
      <c r="U247" s="165"/>
      <c r="V247" s="141"/>
    </row>
    <row r="248" spans="1:22" s="69" customFormat="1" ht="20.100000000000001" customHeight="1" x14ac:dyDescent="0.2">
      <c r="A248" s="873" t="str">
        <f>IF(A247="","",VLOOKUP(A247,liste!$A$9:$G$145,2,FALSE))</f>
        <v/>
      </c>
      <c r="B248" s="874" t="e">
        <v>#N/A</v>
      </c>
      <c r="C248" s="874" t="e">
        <v>#N/A</v>
      </c>
      <c r="D248" s="163"/>
      <c r="E248" s="163"/>
      <c r="F248" s="163"/>
      <c r="G248" s="163"/>
      <c r="H248" s="163"/>
      <c r="I248" s="163"/>
      <c r="J248" s="163"/>
      <c r="K248" s="141"/>
      <c r="L248" s="873" t="str">
        <f>IF(L247="","",VLOOKUP(L247,liste!$A$9:$G$145,2,FALSE))</f>
        <v/>
      </c>
      <c r="M248" s="874" t="e">
        <v>#N/A</v>
      </c>
      <c r="N248" s="874" t="e">
        <v>#N/A</v>
      </c>
      <c r="O248" s="163"/>
      <c r="P248" s="163"/>
      <c r="Q248" s="163"/>
      <c r="R248" s="163"/>
      <c r="S248" s="163"/>
      <c r="T248" s="163"/>
      <c r="U248" s="141"/>
      <c r="V248" s="141"/>
    </row>
    <row r="249" spans="1:22" s="69" customFormat="1" ht="20.100000000000001" customHeight="1" x14ac:dyDescent="0.2">
      <c r="A249" s="154"/>
      <c r="B249" s="152"/>
      <c r="C249" s="166" t="str">
        <f>IF(A247="","",VLOOKUP(A247,liste!$A$9:$G$145,4,FALSE))</f>
        <v/>
      </c>
      <c r="D249" s="167"/>
      <c r="E249" s="167"/>
      <c r="F249" s="167"/>
      <c r="G249" s="167"/>
      <c r="H249" s="167"/>
      <c r="I249" s="167"/>
      <c r="J249" s="167"/>
      <c r="K249" s="141"/>
      <c r="L249" s="154"/>
      <c r="M249" s="152"/>
      <c r="N249" s="166" t="str">
        <f>IF(L247="","",VLOOKUP(L247,liste!$A$9:$G$145,4,FALSE))</f>
        <v/>
      </c>
      <c r="O249" s="167"/>
      <c r="P249" s="167"/>
      <c r="Q249" s="167"/>
      <c r="R249" s="167"/>
      <c r="S249" s="167"/>
      <c r="T249" s="167"/>
      <c r="U249" s="168"/>
      <c r="V249" s="141"/>
    </row>
    <row r="250" spans="1:22" s="69" customFormat="1" ht="15.75" x14ac:dyDescent="0.2">
      <c r="A250" s="169" t="str">
        <f>IF(A247="","",VLOOKUP(A247,liste!$A$9:$G$145,3,FALSE))</f>
        <v/>
      </c>
      <c r="B250" s="152"/>
      <c r="C250" s="152"/>
      <c r="D250" s="170"/>
      <c r="E250" s="170"/>
      <c r="F250" s="170"/>
      <c r="G250" s="170"/>
      <c r="H250" s="170"/>
      <c r="I250" s="171"/>
      <c r="J250" s="171"/>
      <c r="K250" s="141"/>
      <c r="L250" s="169" t="str">
        <f>IF(L247="","",VLOOKUP(L247,liste!$A$9:$G$145,3,FALSE))</f>
        <v/>
      </c>
      <c r="M250" s="152"/>
      <c r="N250" s="152"/>
      <c r="O250" s="170"/>
      <c r="P250" s="170"/>
      <c r="Q250" s="170"/>
      <c r="R250" s="170"/>
      <c r="S250" s="170"/>
      <c r="T250" s="171"/>
      <c r="U250" s="172"/>
      <c r="V250" s="141"/>
    </row>
    <row r="251" spans="1:22" s="69" customFormat="1" ht="12.75" x14ac:dyDescent="0.2">
      <c r="A251" s="141"/>
      <c r="B251" s="71"/>
      <c r="C251" s="71"/>
      <c r="D251" s="173"/>
      <c r="E251" s="173"/>
      <c r="F251" s="173"/>
      <c r="G251" s="173"/>
      <c r="H251" s="173"/>
      <c r="I251" s="174"/>
      <c r="J251" s="174"/>
      <c r="K251" s="141"/>
      <c r="L251" s="141"/>
      <c r="M251" s="71"/>
      <c r="N251" s="71"/>
      <c r="O251" s="173"/>
      <c r="P251" s="173"/>
      <c r="Q251" s="173"/>
      <c r="R251" s="173"/>
      <c r="S251" s="173"/>
      <c r="T251" s="174"/>
      <c r="U251" s="175"/>
      <c r="V251" s="141"/>
    </row>
    <row r="252" spans="1:22" s="69" customFormat="1" ht="12.75" x14ac:dyDescent="0.2">
      <c r="A252" s="141"/>
      <c r="B252" s="71"/>
      <c r="C252" s="71"/>
      <c r="D252" s="71"/>
      <c r="E252" s="71"/>
      <c r="F252" s="71"/>
      <c r="G252" s="71"/>
      <c r="H252" s="71"/>
      <c r="I252" s="71"/>
      <c r="J252" s="143"/>
      <c r="K252" s="141"/>
      <c r="L252" s="141"/>
      <c r="M252" s="71"/>
      <c r="N252" s="71"/>
      <c r="O252" s="71"/>
      <c r="P252" s="71"/>
      <c r="Q252" s="71"/>
      <c r="R252" s="71"/>
      <c r="S252" s="71"/>
      <c r="T252" s="71"/>
      <c r="U252" s="71"/>
      <c r="V252" s="141"/>
    </row>
    <row r="253" spans="1:22" s="69" customFormat="1" ht="20.100000000000001" customHeight="1" x14ac:dyDescent="0.2">
      <c r="A253" s="863" t="s">
        <v>85</v>
      </c>
      <c r="B253" s="864"/>
      <c r="C253" s="864"/>
      <c r="D253" s="178" t="s">
        <v>72</v>
      </c>
      <c r="E253" s="178" t="s">
        <v>82</v>
      </c>
      <c r="F253" s="178" t="s">
        <v>83</v>
      </c>
      <c r="G253" s="71"/>
      <c r="H253" s="71"/>
      <c r="I253" s="71"/>
      <c r="J253" s="143"/>
      <c r="K253" s="141"/>
      <c r="L253" s="863" t="s">
        <v>85</v>
      </c>
      <c r="M253" s="864"/>
      <c r="N253" s="864"/>
      <c r="O253" s="178" t="s">
        <v>72</v>
      </c>
      <c r="P253" s="178" t="s">
        <v>82</v>
      </c>
      <c r="Q253" s="178" t="s">
        <v>83</v>
      </c>
      <c r="R253" s="71"/>
      <c r="S253" s="71"/>
      <c r="T253" s="71"/>
      <c r="U253" s="71"/>
      <c r="V253" s="141"/>
    </row>
    <row r="254" spans="1:22" s="69" customFormat="1" ht="20.100000000000001" customHeight="1" x14ac:dyDescent="0.2">
      <c r="A254" s="179" t="str">
        <f>A243</f>
        <v/>
      </c>
      <c r="B254" s="180"/>
      <c r="C254" s="181"/>
      <c r="D254" s="164"/>
      <c r="E254" s="164"/>
      <c r="F254" s="164"/>
      <c r="G254" s="71"/>
      <c r="H254" s="71"/>
      <c r="I254" s="71"/>
      <c r="J254" s="143"/>
      <c r="K254" s="141"/>
      <c r="L254" s="179" t="str">
        <f>L243</f>
        <v/>
      </c>
      <c r="M254" s="180"/>
      <c r="N254" s="181"/>
      <c r="O254" s="164"/>
      <c r="P254" s="164"/>
      <c r="Q254" s="164"/>
      <c r="R254" s="71"/>
      <c r="S254" s="71"/>
      <c r="T254" s="71"/>
      <c r="U254" s="71"/>
      <c r="V254" s="141"/>
    </row>
    <row r="255" spans="1:22" s="69" customFormat="1" ht="20.100000000000001" customHeight="1" x14ac:dyDescent="0.2">
      <c r="A255" s="168"/>
      <c r="B255" s="182"/>
      <c r="C255" s="183"/>
      <c r="D255" s="167"/>
      <c r="E255" s="167"/>
      <c r="F255" s="167"/>
      <c r="G255" s="71"/>
      <c r="H255" s="71"/>
      <c r="I255" s="71"/>
      <c r="J255" s="143"/>
      <c r="K255" s="141"/>
      <c r="L255" s="168"/>
      <c r="M255" s="182"/>
      <c r="N255" s="183"/>
      <c r="O255" s="167"/>
      <c r="P255" s="167"/>
      <c r="Q255" s="167"/>
      <c r="R255" s="71"/>
      <c r="S255" s="71"/>
      <c r="T255" s="71"/>
      <c r="U255" s="71"/>
      <c r="V255" s="141"/>
    </row>
    <row r="256" spans="1:22" s="69" customFormat="1" ht="20.100000000000001" customHeight="1" x14ac:dyDescent="0.2">
      <c r="A256" s="179" t="str">
        <f>A248</f>
        <v/>
      </c>
      <c r="B256" s="180"/>
      <c r="C256" s="181"/>
      <c r="D256" s="164"/>
      <c r="E256" s="164"/>
      <c r="F256" s="164"/>
      <c r="G256" s="71"/>
      <c r="H256" s="71"/>
      <c r="I256" s="71"/>
      <c r="J256" s="143"/>
      <c r="K256" s="141"/>
      <c r="L256" s="179" t="str">
        <f>L248</f>
        <v/>
      </c>
      <c r="M256" s="180"/>
      <c r="N256" s="181"/>
      <c r="O256" s="164"/>
      <c r="P256" s="164"/>
      <c r="Q256" s="164"/>
      <c r="R256" s="71"/>
      <c r="S256" s="71"/>
      <c r="T256" s="71"/>
      <c r="U256" s="71"/>
      <c r="V256" s="141"/>
    </row>
    <row r="257" spans="1:22" s="69" customFormat="1" ht="20.100000000000001" customHeight="1" x14ac:dyDescent="0.2">
      <c r="A257" s="168"/>
      <c r="B257" s="182"/>
      <c r="C257" s="183"/>
      <c r="D257" s="167"/>
      <c r="E257" s="167"/>
      <c r="F257" s="167"/>
      <c r="G257" s="71"/>
      <c r="H257" s="71"/>
      <c r="I257" s="71"/>
      <c r="J257" s="143"/>
      <c r="K257" s="141"/>
      <c r="L257" s="168"/>
      <c r="M257" s="182"/>
      <c r="N257" s="183"/>
      <c r="O257" s="167"/>
      <c r="P257" s="167"/>
      <c r="Q257" s="167"/>
      <c r="R257" s="71"/>
      <c r="S257" s="71"/>
      <c r="T257" s="71"/>
      <c r="U257" s="71"/>
      <c r="V257" s="141"/>
    </row>
    <row r="258" spans="1:22" s="69" customFormat="1" ht="12.75" x14ac:dyDescent="0.2">
      <c r="A258" s="184" t="s">
        <v>86</v>
      </c>
      <c r="B258" s="71"/>
      <c r="C258" s="71"/>
      <c r="D258" s="71"/>
      <c r="E258" s="71"/>
      <c r="F258" s="71"/>
      <c r="G258" s="71"/>
      <c r="H258" s="71"/>
      <c r="I258" s="71"/>
      <c r="J258" s="143"/>
      <c r="K258" s="141"/>
      <c r="L258" s="184" t="s">
        <v>86</v>
      </c>
      <c r="M258" s="71"/>
      <c r="N258" s="71"/>
      <c r="O258" s="71"/>
      <c r="P258" s="71"/>
      <c r="Q258" s="71"/>
      <c r="R258" s="71"/>
      <c r="S258" s="71"/>
      <c r="T258" s="71"/>
      <c r="U258" s="71"/>
      <c r="V258" s="141"/>
    </row>
    <row r="259" spans="1:22" s="69" customFormat="1" ht="12.75" x14ac:dyDescent="0.2">
      <c r="A259" s="141"/>
      <c r="B259" s="71"/>
      <c r="C259" s="71"/>
      <c r="D259" s="71"/>
      <c r="E259" s="71"/>
      <c r="F259" s="71"/>
      <c r="G259" s="71"/>
      <c r="H259" s="71"/>
      <c r="I259" s="71"/>
      <c r="J259" s="143"/>
      <c r="K259" s="141"/>
      <c r="L259" s="141"/>
      <c r="M259" s="71"/>
      <c r="N259" s="71"/>
      <c r="O259" s="71"/>
      <c r="P259" s="71"/>
      <c r="Q259" s="71"/>
      <c r="R259" s="71"/>
      <c r="S259" s="71"/>
      <c r="T259" s="71"/>
      <c r="U259" s="71"/>
      <c r="V259" s="141"/>
    </row>
    <row r="260" spans="1:22" s="69" customFormat="1" ht="12.75" x14ac:dyDescent="0.2">
      <c r="A260" s="185" t="s">
        <v>84</v>
      </c>
      <c r="B260" s="182"/>
      <c r="C260" s="182"/>
      <c r="D260" s="182"/>
      <c r="E260" s="182"/>
      <c r="F260" s="182"/>
      <c r="G260" s="182"/>
      <c r="H260" s="182"/>
      <c r="I260" s="182"/>
      <c r="J260" s="183"/>
      <c r="K260" s="141"/>
      <c r="L260" s="185" t="s">
        <v>84</v>
      </c>
      <c r="M260" s="182"/>
      <c r="N260" s="182"/>
      <c r="O260" s="182"/>
      <c r="P260" s="182"/>
      <c r="Q260" s="182"/>
      <c r="R260" s="182"/>
      <c r="S260" s="182"/>
      <c r="T260" s="182"/>
      <c r="U260" s="182"/>
      <c r="V260" s="141"/>
    </row>
    <row r="261" spans="1:22" s="69" customFormat="1" ht="50.1" customHeight="1" x14ac:dyDescent="0.2">
      <c r="V261" s="71"/>
    </row>
    <row r="262" spans="1:22" s="69" customFormat="1" ht="50.1" customHeight="1" x14ac:dyDescent="0.2">
      <c r="V262" s="71"/>
    </row>
    <row r="263" spans="1:22" s="69" customFormat="1" ht="20.100000000000001" customHeight="1" x14ac:dyDescent="0.2">
      <c r="A263" s="877" t="str">
        <f>$A$1</f>
        <v>Circuit Décathlon</v>
      </c>
      <c r="B263" s="878"/>
      <c r="C263" s="878"/>
      <c r="D263" s="878"/>
      <c r="E263" s="878"/>
      <c r="F263" s="878"/>
      <c r="G263" s="878"/>
      <c r="H263" s="878"/>
      <c r="I263" s="878"/>
      <c r="J263" s="879"/>
      <c r="K263" s="141"/>
      <c r="L263" s="877" t="str">
        <f>$A$1</f>
        <v>Circuit Décathlon</v>
      </c>
      <c r="M263" s="878"/>
      <c r="N263" s="878"/>
      <c r="O263" s="878"/>
      <c r="P263" s="878"/>
      <c r="Q263" s="878"/>
      <c r="R263" s="878"/>
      <c r="S263" s="878"/>
      <c r="T263" s="878"/>
      <c r="U263" s="879"/>
      <c r="V263" s="141"/>
    </row>
    <row r="264" spans="1:22" s="69" customFormat="1" ht="15.75" x14ac:dyDescent="0.2">
      <c r="A264" s="141"/>
      <c r="B264" s="71"/>
      <c r="C264" s="71"/>
      <c r="D264" s="142" t="s">
        <v>78</v>
      </c>
      <c r="E264" s="191">
        <f>Rens!F31</f>
        <v>0</v>
      </c>
      <c r="F264" s="71"/>
      <c r="G264" s="71"/>
      <c r="H264" s="71"/>
      <c r="I264" s="71"/>
      <c r="J264" s="143"/>
      <c r="K264" s="141"/>
      <c r="L264" s="141"/>
      <c r="M264" s="71"/>
      <c r="N264" s="71"/>
      <c r="O264" s="142" t="s">
        <v>78</v>
      </c>
      <c r="P264" s="191">
        <f>Rens!F32</f>
        <v>0</v>
      </c>
      <c r="Q264" s="71"/>
      <c r="R264" s="71"/>
      <c r="S264" s="71"/>
      <c r="T264" s="71"/>
      <c r="U264" s="71"/>
      <c r="V264" s="141"/>
    </row>
    <row r="265" spans="1:22" s="69" customFormat="1" ht="18.75" x14ac:dyDescent="0.2">
      <c r="A265" s="144" t="s">
        <v>79</v>
      </c>
      <c r="B265" s="145" t="str">
        <f>$B$3</f>
        <v>FEM</v>
      </c>
      <c r="C265" s="71"/>
      <c r="D265" s="71"/>
      <c r="E265" s="71"/>
      <c r="F265" s="71"/>
      <c r="G265" s="71"/>
      <c r="H265" s="71"/>
      <c r="I265" s="71"/>
      <c r="J265" s="143"/>
      <c r="K265" s="141"/>
      <c r="L265" s="144" t="s">
        <v>79</v>
      </c>
      <c r="M265" s="145" t="str">
        <f>$B$3</f>
        <v>FEM</v>
      </c>
      <c r="N265" s="71"/>
      <c r="O265" s="71"/>
      <c r="P265" s="71"/>
      <c r="Q265" s="71"/>
      <c r="R265" s="71"/>
      <c r="S265" s="71"/>
      <c r="T265" s="71"/>
      <c r="U265" s="71"/>
      <c r="V265" s="141"/>
    </row>
    <row r="266" spans="1:22" s="69" customFormat="1" ht="18.75" x14ac:dyDescent="0.2">
      <c r="A266" s="875" t="s">
        <v>129</v>
      </c>
      <c r="B266" s="876"/>
      <c r="C266" s="876"/>
      <c r="D266" s="876"/>
      <c r="E266" s="71"/>
      <c r="F266" s="71"/>
      <c r="G266" s="72" t="str">
        <f>Rens!E31</f>
        <v>G</v>
      </c>
      <c r="H266" s="71"/>
      <c r="I266" s="71"/>
      <c r="J266" s="143"/>
      <c r="K266" s="141"/>
      <c r="L266" s="880" t="str">
        <f>A266</f>
        <v>Places 5 à 8</v>
      </c>
      <c r="M266" s="876"/>
      <c r="N266" s="876"/>
      <c r="O266" s="876"/>
      <c r="P266" s="71"/>
      <c r="Q266" s="71"/>
      <c r="R266" s="72" t="str">
        <f>Rens!E32</f>
        <v>H</v>
      </c>
      <c r="S266" s="71"/>
      <c r="T266" s="71"/>
      <c r="U266" s="71"/>
      <c r="V266" s="141"/>
    </row>
    <row r="267" spans="1:22" s="155" customFormat="1" ht="18.75" x14ac:dyDescent="0.2">
      <c r="A267" s="154"/>
      <c r="B267" s="187" t="str">
        <f>Tableau!J16</f>
        <v/>
      </c>
      <c r="C267" s="152"/>
      <c r="D267" s="152"/>
      <c r="E267" s="73" t="s">
        <v>142</v>
      </c>
      <c r="F267" s="72">
        <f>Rens!G31</f>
        <v>0</v>
      </c>
      <c r="G267" s="152"/>
      <c r="H267" s="152"/>
      <c r="I267" s="152"/>
      <c r="J267" s="153"/>
      <c r="K267" s="154"/>
      <c r="L267" s="154"/>
      <c r="M267" s="187" t="str">
        <f>Tableau!J12</f>
        <v/>
      </c>
      <c r="N267" s="152"/>
      <c r="O267" s="152"/>
      <c r="P267" s="73" t="s">
        <v>142</v>
      </c>
      <c r="Q267" s="72">
        <f>Rens!G32</f>
        <v>0</v>
      </c>
      <c r="R267" s="152"/>
      <c r="S267" s="152"/>
      <c r="T267" s="152"/>
      <c r="U267" s="152"/>
      <c r="V267" s="154"/>
    </row>
    <row r="268" spans="1:22" s="69" customFormat="1" ht="15.75" x14ac:dyDescent="0.2">
      <c r="A268" s="192" t="s">
        <v>80</v>
      </c>
      <c r="B268" s="150" t="str">
        <f>IF(B267="","",VLOOKUP(B267,liste!$A$9:$G$145,2,FALSE))</f>
        <v/>
      </c>
      <c r="C268" s="193"/>
      <c r="D268" s="193"/>
      <c r="E268" s="193"/>
      <c r="F268" s="193"/>
      <c r="G268" s="193"/>
      <c r="H268" s="193"/>
      <c r="I268" s="71"/>
      <c r="J268" s="143"/>
      <c r="K268" s="141"/>
      <c r="L268" s="192" t="s">
        <v>80</v>
      </c>
      <c r="M268" s="150" t="str">
        <f>IF(M267="","",VLOOKUP(M267,liste!$A$9:$G$145,2,FALSE))</f>
        <v/>
      </c>
      <c r="N268" s="193"/>
      <c r="O268" s="193"/>
      <c r="P268" s="193"/>
      <c r="Q268" s="193"/>
      <c r="R268" s="193"/>
      <c r="S268" s="193"/>
      <c r="T268" s="71"/>
      <c r="U268" s="71"/>
      <c r="V268" s="141"/>
    </row>
    <row r="269" spans="1:22" s="69" customFormat="1" ht="20.100000000000001" customHeight="1" x14ac:dyDescent="0.2">
      <c r="A269" s="141"/>
      <c r="D269" s="865" t="s">
        <v>19</v>
      </c>
      <c r="E269" s="866"/>
      <c r="F269" s="866"/>
      <c r="G269" s="866"/>
      <c r="H269" s="866"/>
      <c r="I269" s="866"/>
      <c r="J269" s="867"/>
      <c r="K269" s="141"/>
      <c r="L269" s="156"/>
      <c r="M269" s="157"/>
      <c r="N269" s="157"/>
      <c r="O269" s="865" t="s">
        <v>19</v>
      </c>
      <c r="P269" s="866"/>
      <c r="Q269" s="866"/>
      <c r="R269" s="866"/>
      <c r="S269" s="866"/>
      <c r="T269" s="866"/>
      <c r="U269" s="867"/>
      <c r="V269" s="141"/>
    </row>
    <row r="270" spans="1:22" s="69" customFormat="1" ht="20.100000000000001" customHeight="1" x14ac:dyDescent="0.2">
      <c r="A270" s="868" t="s">
        <v>81</v>
      </c>
      <c r="B270" s="869"/>
      <c r="C270" s="869"/>
      <c r="D270" s="158">
        <v>1</v>
      </c>
      <c r="E270" s="158">
        <v>2</v>
      </c>
      <c r="F270" s="158">
        <v>3</v>
      </c>
      <c r="G270" s="158">
        <v>4</v>
      </c>
      <c r="H270" s="158">
        <v>5</v>
      </c>
      <c r="I270" s="158">
        <v>6</v>
      </c>
      <c r="J270" s="158">
        <v>7</v>
      </c>
      <c r="K270" s="141"/>
      <c r="L270" s="868" t="s">
        <v>81</v>
      </c>
      <c r="M270" s="869"/>
      <c r="N270" s="869"/>
      <c r="O270" s="158">
        <v>1</v>
      </c>
      <c r="P270" s="158">
        <v>2</v>
      </c>
      <c r="Q270" s="158">
        <v>3</v>
      </c>
      <c r="R270" s="158">
        <v>4</v>
      </c>
      <c r="S270" s="158">
        <v>5</v>
      </c>
      <c r="T270" s="158">
        <v>6</v>
      </c>
      <c r="U270" s="159">
        <v>7</v>
      </c>
      <c r="V270" s="141"/>
    </row>
    <row r="271" spans="1:22" s="69" customFormat="1" ht="20.100000000000001" customHeight="1" x14ac:dyDescent="0.2">
      <c r="A271" s="160"/>
      <c r="B271" s="161"/>
      <c r="C271" s="161"/>
      <c r="D271" s="870" t="s">
        <v>87</v>
      </c>
      <c r="E271" s="871"/>
      <c r="F271" s="871"/>
      <c r="G271" s="871"/>
      <c r="H271" s="871"/>
      <c r="I271" s="871"/>
      <c r="J271" s="872"/>
      <c r="K271" s="141"/>
      <c r="L271" s="160"/>
      <c r="M271" s="161"/>
      <c r="N271" s="161"/>
      <c r="O271" s="870" t="s">
        <v>87</v>
      </c>
      <c r="P271" s="871"/>
      <c r="Q271" s="871"/>
      <c r="R271" s="871"/>
      <c r="S271" s="871"/>
      <c r="T271" s="871"/>
      <c r="U271" s="872"/>
      <c r="V271" s="141"/>
    </row>
    <row r="272" spans="1:22" s="69" customFormat="1" ht="18.75" x14ac:dyDescent="0.2">
      <c r="A272" s="162" t="str">
        <f>Tableau!U33</f>
        <v/>
      </c>
      <c r="C272" s="71"/>
      <c r="D272" s="164"/>
      <c r="E272" s="164"/>
      <c r="F272" s="164"/>
      <c r="G272" s="164"/>
      <c r="H272" s="164"/>
      <c r="I272" s="164"/>
      <c r="J272" s="164"/>
      <c r="K272" s="141"/>
      <c r="L272" s="162" t="str">
        <f>Tableau!U37</f>
        <v/>
      </c>
      <c r="N272" s="71"/>
      <c r="O272" s="164"/>
      <c r="P272" s="164"/>
      <c r="Q272" s="164"/>
      <c r="R272" s="164"/>
      <c r="S272" s="164"/>
      <c r="T272" s="164"/>
      <c r="U272" s="165"/>
      <c r="V272" s="141"/>
    </row>
    <row r="273" spans="1:22" s="69" customFormat="1" ht="20.100000000000001" customHeight="1" x14ac:dyDescent="0.2">
      <c r="A273" s="873" t="str">
        <f>IF(A272="","",VLOOKUP(A272,liste!$A$9:$G$145,2,FALSE))</f>
        <v/>
      </c>
      <c r="B273" s="874" t="e">
        <v>#N/A</v>
      </c>
      <c r="C273" s="874" t="e">
        <v>#N/A</v>
      </c>
      <c r="D273" s="163"/>
      <c r="E273" s="163"/>
      <c r="F273" s="163"/>
      <c r="G273" s="163"/>
      <c r="H273" s="163"/>
      <c r="I273" s="163"/>
      <c r="J273" s="163"/>
      <c r="K273" s="141"/>
      <c r="L273" s="873" t="str">
        <f>IF(L272="","",VLOOKUP(L272,liste!$A$9:$G$145,2,FALSE))</f>
        <v/>
      </c>
      <c r="M273" s="874" t="e">
        <v>#N/A</v>
      </c>
      <c r="N273" s="874" t="e">
        <v>#N/A</v>
      </c>
      <c r="O273" s="163"/>
      <c r="P273" s="163"/>
      <c r="Q273" s="163"/>
      <c r="R273" s="163"/>
      <c r="S273" s="163"/>
      <c r="T273" s="163"/>
      <c r="U273" s="141"/>
      <c r="V273" s="141"/>
    </row>
    <row r="274" spans="1:22" s="69" customFormat="1" ht="20.100000000000001" customHeight="1" x14ac:dyDescent="0.2">
      <c r="A274" s="154"/>
      <c r="B274" s="152"/>
      <c r="C274" s="166" t="str">
        <f>IF(A272="","",VLOOKUP(A272,liste!$A$9:$G$145,4,FALSE))</f>
        <v/>
      </c>
      <c r="D274" s="167"/>
      <c r="E274" s="167"/>
      <c r="F274" s="167"/>
      <c r="G274" s="167"/>
      <c r="H274" s="167"/>
      <c r="I274" s="167"/>
      <c r="J274" s="167"/>
      <c r="K274" s="141"/>
      <c r="L274" s="154"/>
      <c r="M274" s="152"/>
      <c r="N274" s="166" t="str">
        <f>IF(L272="","",VLOOKUP(L272,liste!$A$9:$G$145,4,FALSE))</f>
        <v/>
      </c>
      <c r="O274" s="167"/>
      <c r="P274" s="167"/>
      <c r="Q274" s="167"/>
      <c r="R274" s="167"/>
      <c r="S274" s="167"/>
      <c r="T274" s="167"/>
      <c r="U274" s="168"/>
      <c r="V274" s="141"/>
    </row>
    <row r="275" spans="1:22" s="69" customFormat="1" ht="15.75" x14ac:dyDescent="0.2">
      <c r="A275" s="188" t="str">
        <f>IF(A272="","",VLOOKUP(A272,liste!$A$9:$G$145,3,FALSE))</f>
        <v/>
      </c>
      <c r="B275" s="152"/>
      <c r="C275" s="152"/>
      <c r="D275" s="170"/>
      <c r="E275" s="170"/>
      <c r="F275" s="170"/>
      <c r="G275" s="170"/>
      <c r="H275" s="170"/>
      <c r="I275" s="171"/>
      <c r="J275" s="171"/>
      <c r="K275" s="141"/>
      <c r="L275" s="188" t="str">
        <f>IF(L272="","",VLOOKUP(L272,liste!$A$9:$G$145,3,FALSE))</f>
        <v/>
      </c>
      <c r="M275" s="152"/>
      <c r="N275" s="152"/>
      <c r="O275" s="170"/>
      <c r="P275" s="170"/>
      <c r="Q275" s="170"/>
      <c r="R275" s="170"/>
      <c r="S275" s="170"/>
      <c r="T275" s="171"/>
      <c r="U275" s="172"/>
      <c r="V275" s="141"/>
    </row>
    <row r="276" spans="1:22" s="69" customFormat="1" ht="12.75" x14ac:dyDescent="0.2">
      <c r="A276" s="141"/>
      <c r="B276" s="70" t="s">
        <v>9</v>
      </c>
      <c r="C276" s="71"/>
      <c r="D276" s="173"/>
      <c r="E276" s="173"/>
      <c r="F276" s="173"/>
      <c r="G276" s="173"/>
      <c r="H276" s="173"/>
      <c r="I276" s="174"/>
      <c r="J276" s="174"/>
      <c r="K276" s="141"/>
      <c r="L276" s="141"/>
      <c r="M276" s="70" t="s">
        <v>9</v>
      </c>
      <c r="N276" s="71"/>
      <c r="O276" s="173"/>
      <c r="P276" s="173"/>
      <c r="Q276" s="173"/>
      <c r="R276" s="173"/>
      <c r="S276" s="173"/>
      <c r="T276" s="174"/>
      <c r="U276" s="175"/>
      <c r="V276" s="141"/>
    </row>
    <row r="277" spans="1:22" s="69" customFormat="1" ht="18.75" x14ac:dyDescent="0.2">
      <c r="A277" s="162" t="str">
        <f>Tableau!U35</f>
        <v/>
      </c>
      <c r="B277" s="189"/>
      <c r="C277" s="71"/>
      <c r="D277" s="164"/>
      <c r="E277" s="164"/>
      <c r="F277" s="164"/>
      <c r="G277" s="164"/>
      <c r="H277" s="164"/>
      <c r="I277" s="164"/>
      <c r="J277" s="164"/>
      <c r="K277" s="141"/>
      <c r="L277" s="162" t="str">
        <f>Tableau!U39</f>
        <v/>
      </c>
      <c r="N277" s="71"/>
      <c r="O277" s="164"/>
      <c r="P277" s="164"/>
      <c r="Q277" s="164"/>
      <c r="R277" s="164"/>
      <c r="S277" s="164"/>
      <c r="T277" s="164"/>
      <c r="U277" s="165"/>
      <c r="V277" s="141"/>
    </row>
    <row r="278" spans="1:22" s="69" customFormat="1" ht="20.100000000000001" customHeight="1" x14ac:dyDescent="0.2">
      <c r="A278" s="873" t="str">
        <f>IF(A277="","",VLOOKUP(A277,liste!$A$9:$G$145,2,FALSE))</f>
        <v/>
      </c>
      <c r="B278" s="874" t="e">
        <v>#N/A</v>
      </c>
      <c r="C278" s="874" t="e">
        <v>#N/A</v>
      </c>
      <c r="D278" s="163"/>
      <c r="E278" s="163"/>
      <c r="F278" s="163"/>
      <c r="G278" s="163"/>
      <c r="H278" s="163"/>
      <c r="I278" s="163"/>
      <c r="J278" s="163"/>
      <c r="K278" s="141"/>
      <c r="L278" s="873" t="str">
        <f>IF(L277="","",VLOOKUP(L277,liste!$A$9:$G$145,2,FALSE))</f>
        <v/>
      </c>
      <c r="M278" s="874" t="e">
        <v>#N/A</v>
      </c>
      <c r="N278" s="874" t="e">
        <v>#N/A</v>
      </c>
      <c r="O278" s="163"/>
      <c r="P278" s="163"/>
      <c r="Q278" s="163"/>
      <c r="R278" s="163"/>
      <c r="S278" s="163"/>
      <c r="T278" s="163"/>
      <c r="U278" s="141"/>
      <c r="V278" s="141"/>
    </row>
    <row r="279" spans="1:22" s="69" customFormat="1" ht="20.100000000000001" customHeight="1" x14ac:dyDescent="0.2">
      <c r="A279" s="154"/>
      <c r="B279" s="152"/>
      <c r="C279" s="166" t="str">
        <f>IF(A277="","",VLOOKUP(A277,liste!$A$9:$G$145,4,FALSE))</f>
        <v/>
      </c>
      <c r="D279" s="167"/>
      <c r="E279" s="167"/>
      <c r="F279" s="167"/>
      <c r="G279" s="167"/>
      <c r="H279" s="167"/>
      <c r="I279" s="167"/>
      <c r="J279" s="167"/>
      <c r="K279" s="141"/>
      <c r="L279" s="154"/>
      <c r="M279" s="152"/>
      <c r="N279" s="166" t="str">
        <f>IF(L277="","",VLOOKUP(L277,liste!$A$9:$G$145,4,FALSE))</f>
        <v/>
      </c>
      <c r="O279" s="167"/>
      <c r="P279" s="167"/>
      <c r="Q279" s="167"/>
      <c r="R279" s="167"/>
      <c r="S279" s="167"/>
      <c r="T279" s="167"/>
      <c r="U279" s="168"/>
      <c r="V279" s="141"/>
    </row>
    <row r="280" spans="1:22" s="69" customFormat="1" ht="15.75" x14ac:dyDescent="0.2">
      <c r="A280" s="190" t="str">
        <f>IF(A277="","",VLOOKUP(A277,liste!$A$9:$G$145,3,FALSE))</f>
        <v/>
      </c>
      <c r="B280" s="152"/>
      <c r="C280" s="152"/>
      <c r="D280" s="170"/>
      <c r="E280" s="170"/>
      <c r="F280" s="170"/>
      <c r="G280" s="170"/>
      <c r="H280" s="170"/>
      <c r="I280" s="171"/>
      <c r="J280" s="171"/>
      <c r="K280" s="141"/>
      <c r="L280" s="188" t="str">
        <f>IF(L277="","",VLOOKUP(L277,liste!$A$9:$G$145,3,FALSE))</f>
        <v/>
      </c>
      <c r="M280" s="152"/>
      <c r="N280" s="152"/>
      <c r="O280" s="170"/>
      <c r="P280" s="170"/>
      <c r="Q280" s="170"/>
      <c r="R280" s="170"/>
      <c r="S280" s="170"/>
      <c r="T280" s="171"/>
      <c r="U280" s="172"/>
      <c r="V280" s="141"/>
    </row>
    <row r="281" spans="1:22" s="69" customFormat="1" ht="12.75" x14ac:dyDescent="0.2">
      <c r="A281" s="141"/>
      <c r="B281" s="71"/>
      <c r="C281" s="71"/>
      <c r="D281" s="173"/>
      <c r="E281" s="173"/>
      <c r="F281" s="173"/>
      <c r="G281" s="173"/>
      <c r="H281" s="173"/>
      <c r="I281" s="174"/>
      <c r="J281" s="174"/>
      <c r="K281" s="141"/>
      <c r="L281" s="141"/>
      <c r="M281" s="71"/>
      <c r="N281" s="71"/>
      <c r="O281" s="173"/>
      <c r="P281" s="173"/>
      <c r="Q281" s="173"/>
      <c r="R281" s="173"/>
      <c r="S281" s="173"/>
      <c r="T281" s="174"/>
      <c r="U281" s="175"/>
      <c r="V281" s="141"/>
    </row>
    <row r="282" spans="1:22" s="69" customFormat="1" ht="12.75" x14ac:dyDescent="0.2">
      <c r="A282" s="141"/>
      <c r="B282" s="71"/>
      <c r="C282" s="71"/>
      <c r="D282" s="71"/>
      <c r="E282" s="71"/>
      <c r="F282" s="71"/>
      <c r="G282" s="71"/>
      <c r="H282" s="71"/>
      <c r="I282" s="71"/>
      <c r="J282" s="143"/>
      <c r="K282" s="141"/>
      <c r="L282" s="141"/>
      <c r="M282" s="71"/>
      <c r="N282" s="71"/>
      <c r="O282" s="71"/>
      <c r="P282" s="71"/>
      <c r="Q282" s="71"/>
      <c r="R282" s="71"/>
      <c r="S282" s="71"/>
      <c r="T282" s="71"/>
      <c r="U282" s="71"/>
      <c r="V282" s="141"/>
    </row>
    <row r="283" spans="1:22" s="69" customFormat="1" ht="20.100000000000001" customHeight="1" x14ac:dyDescent="0.2">
      <c r="A283" s="863" t="s">
        <v>85</v>
      </c>
      <c r="B283" s="864"/>
      <c r="C283" s="864"/>
      <c r="D283" s="178" t="s">
        <v>72</v>
      </c>
      <c r="E283" s="178" t="s">
        <v>82</v>
      </c>
      <c r="F283" s="178" t="s">
        <v>83</v>
      </c>
      <c r="G283" s="71"/>
      <c r="H283" s="71"/>
      <c r="I283" s="71"/>
      <c r="J283" s="143"/>
      <c r="K283" s="141"/>
      <c r="L283" s="863" t="s">
        <v>85</v>
      </c>
      <c r="M283" s="864"/>
      <c r="N283" s="864"/>
      <c r="O283" s="178" t="s">
        <v>72</v>
      </c>
      <c r="P283" s="178" t="s">
        <v>82</v>
      </c>
      <c r="Q283" s="178" t="s">
        <v>83</v>
      </c>
      <c r="R283" s="71"/>
      <c r="S283" s="71"/>
      <c r="T283" s="71"/>
      <c r="U283" s="71"/>
      <c r="V283" s="141"/>
    </row>
    <row r="284" spans="1:22" s="69" customFormat="1" ht="20.100000000000001" customHeight="1" x14ac:dyDescent="0.2">
      <c r="A284" s="179" t="str">
        <f>A273</f>
        <v/>
      </c>
      <c r="B284" s="180"/>
      <c r="C284" s="181"/>
      <c r="D284" s="164"/>
      <c r="E284" s="164"/>
      <c r="F284" s="164"/>
      <c r="G284" s="71"/>
      <c r="H284" s="71"/>
      <c r="I284" s="71"/>
      <c r="J284" s="143"/>
      <c r="K284" s="141"/>
      <c r="L284" s="179" t="str">
        <f>L273</f>
        <v/>
      </c>
      <c r="M284" s="180"/>
      <c r="N284" s="181"/>
      <c r="O284" s="164"/>
      <c r="P284" s="164"/>
      <c r="Q284" s="164"/>
      <c r="R284" s="71"/>
      <c r="S284" s="71"/>
      <c r="T284" s="71"/>
      <c r="U284" s="71"/>
      <c r="V284" s="141"/>
    </row>
    <row r="285" spans="1:22" s="69" customFormat="1" ht="20.100000000000001" customHeight="1" x14ac:dyDescent="0.2">
      <c r="A285" s="168"/>
      <c r="B285" s="182"/>
      <c r="C285" s="183"/>
      <c r="D285" s="167"/>
      <c r="E285" s="167"/>
      <c r="F285" s="167"/>
      <c r="G285" s="71"/>
      <c r="H285" s="71"/>
      <c r="I285" s="71"/>
      <c r="J285" s="143"/>
      <c r="K285" s="141"/>
      <c r="L285" s="168"/>
      <c r="M285" s="182"/>
      <c r="N285" s="183"/>
      <c r="O285" s="167"/>
      <c r="P285" s="167"/>
      <c r="Q285" s="167"/>
      <c r="R285" s="71"/>
      <c r="S285" s="71"/>
      <c r="T285" s="71"/>
      <c r="U285" s="71"/>
      <c r="V285" s="141"/>
    </row>
    <row r="286" spans="1:22" s="69" customFormat="1" ht="20.100000000000001" customHeight="1" x14ac:dyDescent="0.2">
      <c r="A286" s="179" t="str">
        <f>A278</f>
        <v/>
      </c>
      <c r="B286" s="180"/>
      <c r="C286" s="181"/>
      <c r="D286" s="164"/>
      <c r="E286" s="164"/>
      <c r="F286" s="164"/>
      <c r="G286" s="71"/>
      <c r="H286" s="71"/>
      <c r="I286" s="71"/>
      <c r="J286" s="143"/>
      <c r="K286" s="141"/>
      <c r="L286" s="179" t="str">
        <f>L278</f>
        <v/>
      </c>
      <c r="M286" s="180"/>
      <c r="N286" s="181"/>
      <c r="O286" s="164"/>
      <c r="P286" s="164"/>
      <c r="Q286" s="164"/>
      <c r="R286" s="71"/>
      <c r="S286" s="71"/>
      <c r="T286" s="71"/>
      <c r="U286" s="71"/>
      <c r="V286" s="141"/>
    </row>
    <row r="287" spans="1:22" s="69" customFormat="1" ht="20.100000000000001" customHeight="1" x14ac:dyDescent="0.2">
      <c r="A287" s="168"/>
      <c r="B287" s="182"/>
      <c r="C287" s="183"/>
      <c r="D287" s="167"/>
      <c r="E287" s="167"/>
      <c r="F287" s="167"/>
      <c r="G287" s="71"/>
      <c r="H287" s="71"/>
      <c r="I287" s="71"/>
      <c r="J287" s="143"/>
      <c r="K287" s="141"/>
      <c r="L287" s="168"/>
      <c r="M287" s="182"/>
      <c r="N287" s="183"/>
      <c r="O287" s="167"/>
      <c r="P287" s="167"/>
      <c r="Q287" s="167"/>
      <c r="R287" s="71"/>
      <c r="S287" s="71"/>
      <c r="T287" s="71"/>
      <c r="U287" s="71"/>
      <c r="V287" s="141"/>
    </row>
    <row r="288" spans="1:22" s="69" customFormat="1" ht="12.75" x14ac:dyDescent="0.2">
      <c r="A288" s="184" t="s">
        <v>86</v>
      </c>
      <c r="B288" s="71"/>
      <c r="C288" s="71"/>
      <c r="D288" s="71"/>
      <c r="E288" s="71"/>
      <c r="F288" s="71"/>
      <c r="G288" s="71"/>
      <c r="H288" s="71"/>
      <c r="I288" s="71"/>
      <c r="J288" s="143"/>
      <c r="K288" s="141"/>
      <c r="L288" s="184" t="s">
        <v>86</v>
      </c>
      <c r="M288" s="71"/>
      <c r="N288" s="71"/>
      <c r="O288" s="71"/>
      <c r="P288" s="71"/>
      <c r="Q288" s="71"/>
      <c r="R288" s="71"/>
      <c r="S288" s="71"/>
      <c r="T288" s="71"/>
      <c r="U288" s="71"/>
      <c r="V288" s="141"/>
    </row>
    <row r="289" spans="1:22" s="69" customFormat="1" ht="12.75" x14ac:dyDescent="0.2">
      <c r="A289" s="141"/>
      <c r="B289" s="71"/>
      <c r="C289" s="71"/>
      <c r="D289" s="71"/>
      <c r="E289" s="71"/>
      <c r="F289" s="71"/>
      <c r="G289" s="71"/>
      <c r="H289" s="71"/>
      <c r="I289" s="71"/>
      <c r="J289" s="143"/>
      <c r="K289" s="141"/>
      <c r="L289" s="141"/>
      <c r="M289" s="71"/>
      <c r="N289" s="71"/>
      <c r="O289" s="71"/>
      <c r="P289" s="71"/>
      <c r="Q289" s="71"/>
      <c r="R289" s="71"/>
      <c r="S289" s="71"/>
      <c r="T289" s="71"/>
      <c r="U289" s="71"/>
      <c r="V289" s="141"/>
    </row>
    <row r="290" spans="1:22" s="69" customFormat="1" ht="12.75" x14ac:dyDescent="0.2">
      <c r="A290" s="185" t="s">
        <v>84</v>
      </c>
      <c r="B290" s="182"/>
      <c r="C290" s="182"/>
      <c r="D290" s="182"/>
      <c r="E290" s="182"/>
      <c r="F290" s="182"/>
      <c r="G290" s="182"/>
      <c r="H290" s="182"/>
      <c r="I290" s="182"/>
      <c r="J290" s="183"/>
      <c r="K290" s="141"/>
      <c r="L290" s="185" t="s">
        <v>84</v>
      </c>
      <c r="M290" s="182"/>
      <c r="N290" s="182"/>
      <c r="O290" s="182"/>
      <c r="P290" s="182"/>
      <c r="Q290" s="182"/>
      <c r="R290" s="182"/>
      <c r="S290" s="182"/>
      <c r="T290" s="182"/>
      <c r="U290" s="182"/>
      <c r="V290" s="141"/>
    </row>
    <row r="291" spans="1:22" s="69" customFormat="1" ht="15.75" customHeight="1" x14ac:dyDescent="0.2">
      <c r="A291" s="877" t="str">
        <f>liste!$A$4</f>
        <v>Circuit Décathlon</v>
      </c>
      <c r="B291" s="878"/>
      <c r="C291" s="878"/>
      <c r="D291" s="878"/>
      <c r="E291" s="878"/>
      <c r="F291" s="878"/>
      <c r="G291" s="878"/>
      <c r="H291" s="878"/>
      <c r="I291" s="878"/>
      <c r="J291" s="879"/>
      <c r="K291" s="141"/>
      <c r="L291" s="877" t="str">
        <f>$A$1</f>
        <v>Circuit Décathlon</v>
      </c>
      <c r="M291" s="878"/>
      <c r="N291" s="878"/>
      <c r="O291" s="878"/>
      <c r="P291" s="878"/>
      <c r="Q291" s="878"/>
      <c r="R291" s="878"/>
      <c r="S291" s="878"/>
      <c r="T291" s="878"/>
      <c r="U291" s="879"/>
      <c r="V291" s="141"/>
    </row>
    <row r="292" spans="1:22" s="69" customFormat="1" ht="15.75" x14ac:dyDescent="0.2">
      <c r="A292" s="141"/>
      <c r="B292" s="71"/>
      <c r="C292" s="71"/>
      <c r="D292" s="142" t="s">
        <v>78</v>
      </c>
      <c r="E292" s="191">
        <f>Rens!B36</f>
        <v>0</v>
      </c>
      <c r="F292" s="71"/>
      <c r="G292" s="71"/>
      <c r="H292" s="71"/>
      <c r="I292" s="71"/>
      <c r="J292" s="143"/>
      <c r="K292" s="141"/>
      <c r="L292" s="141"/>
      <c r="M292" s="71"/>
      <c r="N292" s="71"/>
      <c r="O292" s="142" t="s">
        <v>78</v>
      </c>
      <c r="P292" s="191">
        <f>Rens!B37</f>
        <v>0</v>
      </c>
      <c r="Q292" s="71"/>
      <c r="R292" s="71"/>
      <c r="S292" s="71"/>
      <c r="T292" s="71"/>
      <c r="U292" s="71"/>
      <c r="V292" s="141"/>
    </row>
    <row r="293" spans="1:22" s="69" customFormat="1" ht="18.75" x14ac:dyDescent="0.2">
      <c r="A293" s="144" t="s">
        <v>79</v>
      </c>
      <c r="B293" s="145" t="str">
        <f>liste!$A$6</f>
        <v>FEM</v>
      </c>
      <c r="C293" s="71"/>
      <c r="D293" s="71"/>
      <c r="E293" s="71"/>
      <c r="F293" s="71"/>
      <c r="G293" s="71"/>
      <c r="H293" s="71"/>
      <c r="I293" s="71"/>
      <c r="J293" s="143"/>
      <c r="K293" s="141"/>
      <c r="L293" s="144" t="s">
        <v>79</v>
      </c>
      <c r="M293" s="145" t="str">
        <f>$B$3</f>
        <v>FEM</v>
      </c>
      <c r="N293" s="71"/>
      <c r="O293" s="71"/>
      <c r="P293" s="71"/>
      <c r="Q293" s="71"/>
      <c r="R293" s="71"/>
      <c r="S293" s="71"/>
      <c r="T293" s="71"/>
      <c r="U293" s="71"/>
      <c r="V293" s="141"/>
    </row>
    <row r="294" spans="1:22" s="69" customFormat="1" ht="18.75" x14ac:dyDescent="0.2">
      <c r="A294" s="875" t="s">
        <v>158</v>
      </c>
      <c r="B294" s="876"/>
      <c r="C294" s="876"/>
      <c r="D294" s="876"/>
      <c r="E294" s="71"/>
      <c r="F294" s="71"/>
      <c r="G294" s="195"/>
      <c r="H294" s="71"/>
      <c r="I294" s="71"/>
      <c r="J294" s="143"/>
      <c r="K294" s="141"/>
      <c r="L294" s="880" t="s">
        <v>125</v>
      </c>
      <c r="M294" s="876"/>
      <c r="N294" s="876"/>
      <c r="O294" s="876"/>
      <c r="P294" s="71"/>
      <c r="Q294" s="71"/>
      <c r="R294" s="72"/>
      <c r="S294" s="71"/>
      <c r="T294" s="71"/>
      <c r="U294" s="71"/>
      <c r="V294" s="141"/>
    </row>
    <row r="295" spans="1:22" s="155" customFormat="1" ht="18.75" x14ac:dyDescent="0.2">
      <c r="A295" s="154"/>
      <c r="B295" s="187" t="str">
        <f>IF(Tableau!R26="","",Tableau!R26)</f>
        <v/>
      </c>
      <c r="C295" s="152"/>
      <c r="D295" s="152"/>
      <c r="E295" s="73" t="s">
        <v>142</v>
      </c>
      <c r="F295" s="72">
        <f>Rens!C36</f>
        <v>0</v>
      </c>
      <c r="G295" s="152"/>
      <c r="H295" s="152"/>
      <c r="I295" s="152"/>
      <c r="J295" s="153"/>
      <c r="K295" s="154"/>
      <c r="L295" s="154"/>
      <c r="M295" s="187" t="str">
        <f>IF(Tableau!R22="","",Tableau!R22)</f>
        <v/>
      </c>
      <c r="N295" s="152"/>
      <c r="O295" s="152"/>
      <c r="P295" s="73" t="s">
        <v>142</v>
      </c>
      <c r="Q295" s="72">
        <f>Rens!C37</f>
        <v>0</v>
      </c>
      <c r="R295" s="152"/>
      <c r="S295" s="152"/>
      <c r="T295" s="152"/>
      <c r="U295" s="152"/>
      <c r="V295" s="154"/>
    </row>
    <row r="296" spans="1:22" s="69" customFormat="1" ht="15.75" x14ac:dyDescent="0.2">
      <c r="A296" s="192" t="s">
        <v>80</v>
      </c>
      <c r="B296" s="150" t="str">
        <f>IF(B295="","",VLOOKUP(B295,liste!$A$9:$G$145,2,FALSE))</f>
        <v/>
      </c>
      <c r="C296" s="193"/>
      <c r="D296" s="193"/>
      <c r="E296" s="193"/>
      <c r="F296" s="193"/>
      <c r="G296" s="193"/>
      <c r="H296" s="193"/>
      <c r="I296" s="71"/>
      <c r="J296" s="143"/>
      <c r="K296" s="141"/>
      <c r="L296" s="192" t="s">
        <v>80</v>
      </c>
      <c r="M296" s="150" t="str">
        <f>IF(M295="","",VLOOKUP(M295,liste!$A$9:$G$145,2,FALSE))</f>
        <v/>
      </c>
      <c r="N296" s="193"/>
      <c r="O296" s="193"/>
      <c r="P296" s="193"/>
      <c r="Q296" s="193"/>
      <c r="R296" s="193"/>
      <c r="S296" s="193"/>
      <c r="T296" s="71"/>
      <c r="U296" s="71"/>
      <c r="V296" s="141"/>
    </row>
    <row r="297" spans="1:22" s="69" customFormat="1" ht="20.100000000000001" customHeight="1" x14ac:dyDescent="0.2">
      <c r="A297" s="141"/>
      <c r="B297" s="71"/>
      <c r="C297" s="71"/>
      <c r="D297" s="865" t="s">
        <v>19</v>
      </c>
      <c r="E297" s="866"/>
      <c r="F297" s="866"/>
      <c r="G297" s="866"/>
      <c r="H297" s="866"/>
      <c r="I297" s="866"/>
      <c r="J297" s="867"/>
      <c r="K297" s="141"/>
      <c r="L297" s="156"/>
      <c r="M297" s="157"/>
      <c r="N297" s="157"/>
      <c r="O297" s="865" t="s">
        <v>19</v>
      </c>
      <c r="P297" s="866"/>
      <c r="Q297" s="866"/>
      <c r="R297" s="866"/>
      <c r="S297" s="866"/>
      <c r="T297" s="866"/>
      <c r="U297" s="867"/>
      <c r="V297" s="141"/>
    </row>
    <row r="298" spans="1:22" s="69" customFormat="1" ht="20.100000000000001" customHeight="1" x14ac:dyDescent="0.2">
      <c r="A298" s="868" t="s">
        <v>81</v>
      </c>
      <c r="B298" s="869"/>
      <c r="C298" s="869"/>
      <c r="D298" s="158">
        <v>1</v>
      </c>
      <c r="E298" s="158">
        <v>2</v>
      </c>
      <c r="F298" s="158">
        <v>3</v>
      </c>
      <c r="G298" s="158">
        <v>4</v>
      </c>
      <c r="H298" s="158">
        <v>5</v>
      </c>
      <c r="I298" s="158">
        <v>6</v>
      </c>
      <c r="J298" s="158">
        <v>7</v>
      </c>
      <c r="K298" s="141"/>
      <c r="L298" s="868" t="s">
        <v>81</v>
      </c>
      <c r="M298" s="869"/>
      <c r="N298" s="869"/>
      <c r="O298" s="158">
        <v>1</v>
      </c>
      <c r="P298" s="158">
        <v>2</v>
      </c>
      <c r="Q298" s="158">
        <v>3</v>
      </c>
      <c r="R298" s="158">
        <v>4</v>
      </c>
      <c r="S298" s="158">
        <v>5</v>
      </c>
      <c r="T298" s="158">
        <v>6</v>
      </c>
      <c r="U298" s="159">
        <v>7</v>
      </c>
      <c r="V298" s="141"/>
    </row>
    <row r="299" spans="1:22" s="69" customFormat="1" ht="20.100000000000001" customHeight="1" x14ac:dyDescent="0.2">
      <c r="A299" s="160"/>
      <c r="B299" s="161"/>
      <c r="C299" s="161"/>
      <c r="D299" s="870" t="s">
        <v>87</v>
      </c>
      <c r="E299" s="871"/>
      <c r="F299" s="871"/>
      <c r="G299" s="871"/>
      <c r="H299" s="871"/>
      <c r="I299" s="871"/>
      <c r="J299" s="872"/>
      <c r="K299" s="141"/>
      <c r="L299" s="160"/>
      <c r="M299" s="161"/>
      <c r="N299" s="161"/>
      <c r="O299" s="870" t="s">
        <v>87</v>
      </c>
      <c r="P299" s="871"/>
      <c r="Q299" s="871"/>
      <c r="R299" s="871"/>
      <c r="S299" s="871"/>
      <c r="T299" s="871"/>
      <c r="U299" s="872"/>
      <c r="V299" s="141"/>
    </row>
    <row r="300" spans="1:22" s="69" customFormat="1" ht="18.75" x14ac:dyDescent="0.2">
      <c r="A300" s="162" t="str">
        <f>IF(Tableau!D14="","",Tableau!D14)</f>
        <v/>
      </c>
      <c r="B300" s="71"/>
      <c r="C300" s="71"/>
      <c r="D300" s="163"/>
      <c r="E300" s="163"/>
      <c r="F300" s="163"/>
      <c r="G300" s="163"/>
      <c r="H300" s="163"/>
      <c r="I300" s="163"/>
      <c r="J300" s="163"/>
      <c r="K300" s="141"/>
      <c r="L300" s="162" t="str">
        <f>Tableau!D29</f>
        <v/>
      </c>
      <c r="M300" s="71"/>
      <c r="N300" s="71"/>
      <c r="O300" s="164"/>
      <c r="P300" s="164"/>
      <c r="Q300" s="164"/>
      <c r="R300" s="164"/>
      <c r="S300" s="164"/>
      <c r="T300" s="164"/>
      <c r="U300" s="165"/>
      <c r="V300" s="141"/>
    </row>
    <row r="301" spans="1:22" s="69" customFormat="1" ht="20.100000000000001" customHeight="1" x14ac:dyDescent="0.2">
      <c r="A301" s="873" t="str">
        <f>IF(A300="","",VLOOKUP(A300,liste!$A$9:$G$145,2,FALSE))</f>
        <v/>
      </c>
      <c r="B301" s="874" t="e">
        <v>#N/A</v>
      </c>
      <c r="C301" s="874" t="e">
        <v>#N/A</v>
      </c>
      <c r="D301" s="163"/>
      <c r="E301" s="163"/>
      <c r="F301" s="163"/>
      <c r="G301" s="163"/>
      <c r="H301" s="163"/>
      <c r="I301" s="163"/>
      <c r="J301" s="163"/>
      <c r="K301" s="141"/>
      <c r="L301" s="873" t="str">
        <f>IF(L300="","",VLOOKUP(L300,liste!$A$9:$G$145,2,FALSE))</f>
        <v/>
      </c>
      <c r="M301" s="874" t="e">
        <v>#N/A</v>
      </c>
      <c r="N301" s="874" t="e">
        <v>#N/A</v>
      </c>
      <c r="O301" s="163"/>
      <c r="P301" s="163"/>
      <c r="Q301" s="163"/>
      <c r="R301" s="163"/>
      <c r="S301" s="163"/>
      <c r="T301" s="163"/>
      <c r="U301" s="141"/>
      <c r="V301" s="141"/>
    </row>
    <row r="302" spans="1:22" s="69" customFormat="1" ht="20.100000000000001" customHeight="1" x14ac:dyDescent="0.2">
      <c r="A302" s="154"/>
      <c r="B302" s="152"/>
      <c r="C302" s="166" t="str">
        <f>IF(A300="","",VLOOKUP(A300,liste!$A$9:$G$145,4,FALSE))</f>
        <v/>
      </c>
      <c r="D302" s="167"/>
      <c r="E302" s="167"/>
      <c r="F302" s="167"/>
      <c r="G302" s="167"/>
      <c r="H302" s="167"/>
      <c r="I302" s="167"/>
      <c r="J302" s="167"/>
      <c r="K302" s="141"/>
      <c r="L302" s="154"/>
      <c r="M302" s="152"/>
      <c r="N302" s="166" t="str">
        <f>IF(L300="","",VLOOKUP(L300,liste!$A$9:$G$145,4,FALSE))</f>
        <v/>
      </c>
      <c r="O302" s="167"/>
      <c r="P302" s="167"/>
      <c r="Q302" s="167"/>
      <c r="R302" s="167"/>
      <c r="S302" s="167"/>
      <c r="T302" s="167"/>
      <c r="U302" s="168"/>
      <c r="V302" s="141"/>
    </row>
    <row r="303" spans="1:22" s="69" customFormat="1" ht="15.75" x14ac:dyDescent="0.2">
      <c r="A303" s="169" t="str">
        <f>IF(A300="","",VLOOKUP(A300,liste!$A$9:$G$145,3,FALSE))</f>
        <v/>
      </c>
      <c r="B303" s="152"/>
      <c r="C303" s="152"/>
      <c r="D303" s="170"/>
      <c r="E303" s="170"/>
      <c r="F303" s="170"/>
      <c r="G303" s="170"/>
      <c r="H303" s="170"/>
      <c r="I303" s="171"/>
      <c r="J303" s="171"/>
      <c r="K303" s="141"/>
      <c r="L303" s="169" t="str">
        <f>IF(L300="","",VLOOKUP(L300,liste!$A$9:$G$145,3,FALSE))</f>
        <v/>
      </c>
      <c r="M303" s="152"/>
      <c r="N303" s="152"/>
      <c r="O303" s="170"/>
      <c r="P303" s="170"/>
      <c r="Q303" s="170"/>
      <c r="R303" s="170"/>
      <c r="S303" s="170"/>
      <c r="T303" s="171"/>
      <c r="U303" s="172"/>
      <c r="V303" s="141"/>
    </row>
    <row r="304" spans="1:22" s="69" customFormat="1" ht="12.75" x14ac:dyDescent="0.2">
      <c r="A304" s="141"/>
      <c r="B304" s="70" t="s">
        <v>9</v>
      </c>
      <c r="C304" s="71"/>
      <c r="D304" s="173"/>
      <c r="E304" s="173"/>
      <c r="F304" s="173"/>
      <c r="G304" s="173"/>
      <c r="H304" s="173"/>
      <c r="I304" s="174"/>
      <c r="J304" s="174"/>
      <c r="K304" s="141"/>
      <c r="L304" s="141"/>
      <c r="M304" s="70" t="s">
        <v>9</v>
      </c>
      <c r="N304" s="71"/>
      <c r="O304" s="173"/>
      <c r="P304" s="173"/>
      <c r="Q304" s="173"/>
      <c r="R304" s="173"/>
      <c r="S304" s="173"/>
      <c r="T304" s="174"/>
      <c r="U304" s="175"/>
      <c r="V304" s="141"/>
    </row>
    <row r="305" spans="1:22" s="69" customFormat="1" ht="18.75" x14ac:dyDescent="0.2">
      <c r="A305" s="162" t="str">
        <f>IF(Tableau!D24="","",Tableau!D24)</f>
        <v/>
      </c>
      <c r="B305" s="71"/>
      <c r="C305" s="71"/>
      <c r="D305" s="164"/>
      <c r="E305" s="164"/>
      <c r="F305" s="164"/>
      <c r="G305" s="164"/>
      <c r="H305" s="164"/>
      <c r="I305" s="164"/>
      <c r="J305" s="164"/>
      <c r="K305" s="141"/>
      <c r="L305" s="162" t="str">
        <f>Tableau!D31</f>
        <v/>
      </c>
      <c r="M305" s="71"/>
      <c r="N305" s="71"/>
      <c r="O305" s="164"/>
      <c r="P305" s="164"/>
      <c r="Q305" s="164"/>
      <c r="R305" s="164"/>
      <c r="S305" s="164"/>
      <c r="T305" s="164"/>
      <c r="U305" s="165"/>
      <c r="V305" s="141"/>
    </row>
    <row r="306" spans="1:22" s="69" customFormat="1" ht="20.100000000000001" customHeight="1" x14ac:dyDescent="0.2">
      <c r="A306" s="873" t="str">
        <f>IF(A305="","",VLOOKUP(A305,liste!$A$9:$G$145,2,FALSE))</f>
        <v/>
      </c>
      <c r="B306" s="874" t="e">
        <v>#N/A</v>
      </c>
      <c r="C306" s="874" t="e">
        <v>#N/A</v>
      </c>
      <c r="D306" s="163"/>
      <c r="E306" s="163"/>
      <c r="F306" s="163"/>
      <c r="G306" s="163"/>
      <c r="H306" s="163"/>
      <c r="I306" s="163"/>
      <c r="J306" s="163"/>
      <c r="K306" s="141"/>
      <c r="L306" s="873" t="str">
        <f>IF(L305="","",VLOOKUP(L305,liste!$A$9:$G$145,2,FALSE))</f>
        <v/>
      </c>
      <c r="M306" s="874" t="e">
        <v>#N/A</v>
      </c>
      <c r="N306" s="874" t="e">
        <v>#N/A</v>
      </c>
      <c r="O306" s="163"/>
      <c r="P306" s="163"/>
      <c r="Q306" s="163"/>
      <c r="R306" s="163"/>
      <c r="S306" s="163"/>
      <c r="T306" s="163"/>
      <c r="U306" s="141"/>
      <c r="V306" s="141"/>
    </row>
    <row r="307" spans="1:22" s="69" customFormat="1" ht="20.100000000000001" customHeight="1" x14ac:dyDescent="0.2">
      <c r="A307" s="154"/>
      <c r="B307" s="152"/>
      <c r="C307" s="166" t="str">
        <f>IF(A305="","",VLOOKUP(A305,liste!$A$9:$G$145,4,FALSE))</f>
        <v/>
      </c>
      <c r="D307" s="167"/>
      <c r="E307" s="167"/>
      <c r="F307" s="167"/>
      <c r="G307" s="167"/>
      <c r="H307" s="167"/>
      <c r="I307" s="167"/>
      <c r="J307" s="167"/>
      <c r="K307" s="141"/>
      <c r="L307" s="154"/>
      <c r="M307" s="152"/>
      <c r="N307" s="166" t="str">
        <f>IF(L305="","",VLOOKUP(L305,liste!$A$9:$G$145,4,FALSE))</f>
        <v/>
      </c>
      <c r="O307" s="167"/>
      <c r="P307" s="167"/>
      <c r="Q307" s="167"/>
      <c r="R307" s="167"/>
      <c r="S307" s="167"/>
      <c r="T307" s="167"/>
      <c r="U307" s="168"/>
      <c r="V307" s="141"/>
    </row>
    <row r="308" spans="1:22" s="69" customFormat="1" ht="15.75" x14ac:dyDescent="0.2">
      <c r="A308" s="169" t="str">
        <f>IF(A305="","",VLOOKUP(A305,liste!$A$9:$G$145,3,FALSE))</f>
        <v/>
      </c>
      <c r="B308" s="152"/>
      <c r="C308" s="152"/>
      <c r="D308" s="170"/>
      <c r="E308" s="170"/>
      <c r="F308" s="170"/>
      <c r="G308" s="170"/>
      <c r="H308" s="170"/>
      <c r="I308" s="171"/>
      <c r="J308" s="171"/>
      <c r="K308" s="141"/>
      <c r="L308" s="169" t="str">
        <f>IF(L305="","",VLOOKUP(L305,liste!$A$9:$G$145,3,FALSE))</f>
        <v/>
      </c>
      <c r="M308" s="152"/>
      <c r="N308" s="152"/>
      <c r="O308" s="170"/>
      <c r="P308" s="170"/>
      <c r="Q308" s="170"/>
      <c r="R308" s="170"/>
      <c r="S308" s="170"/>
      <c r="T308" s="171"/>
      <c r="U308" s="172"/>
      <c r="V308" s="141"/>
    </row>
    <row r="309" spans="1:22" s="69" customFormat="1" ht="12.75" x14ac:dyDescent="0.2">
      <c r="A309" s="141"/>
      <c r="B309" s="71"/>
      <c r="C309" s="71"/>
      <c r="D309" s="173"/>
      <c r="E309" s="173"/>
      <c r="F309" s="173"/>
      <c r="G309" s="173"/>
      <c r="H309" s="173"/>
      <c r="I309" s="174"/>
      <c r="J309" s="174"/>
      <c r="K309" s="141"/>
      <c r="L309" s="141"/>
      <c r="M309" s="71"/>
      <c r="N309" s="71"/>
      <c r="O309" s="173"/>
      <c r="P309" s="173"/>
      <c r="Q309" s="173"/>
      <c r="R309" s="173"/>
      <c r="S309" s="173"/>
      <c r="T309" s="174"/>
      <c r="U309" s="175"/>
      <c r="V309" s="141"/>
    </row>
    <row r="310" spans="1:22" s="69" customFormat="1" ht="12.75" x14ac:dyDescent="0.2">
      <c r="A310" s="141"/>
      <c r="B310" s="71"/>
      <c r="C310" s="71"/>
      <c r="D310" s="71"/>
      <c r="E310" s="71"/>
      <c r="F310" s="71"/>
      <c r="G310" s="71"/>
      <c r="H310" s="71"/>
      <c r="I310" s="71"/>
      <c r="J310" s="143"/>
      <c r="K310" s="141"/>
      <c r="L310" s="141"/>
      <c r="M310" s="71"/>
      <c r="N310" s="71"/>
      <c r="O310" s="71"/>
      <c r="P310" s="71"/>
      <c r="Q310" s="71"/>
      <c r="R310" s="71"/>
      <c r="S310" s="71"/>
      <c r="T310" s="71"/>
      <c r="U310" s="71"/>
      <c r="V310" s="141"/>
    </row>
    <row r="311" spans="1:22" s="69" customFormat="1" ht="20.100000000000001" customHeight="1" x14ac:dyDescent="0.2">
      <c r="A311" s="863" t="s">
        <v>85</v>
      </c>
      <c r="B311" s="864"/>
      <c r="C311" s="864"/>
      <c r="D311" s="178" t="s">
        <v>72</v>
      </c>
      <c r="E311" s="178" t="s">
        <v>82</v>
      </c>
      <c r="F311" s="178" t="s">
        <v>83</v>
      </c>
      <c r="G311" s="71"/>
      <c r="H311" s="71"/>
      <c r="I311" s="71"/>
      <c r="J311" s="143"/>
      <c r="K311" s="141"/>
      <c r="L311" s="863" t="s">
        <v>85</v>
      </c>
      <c r="M311" s="864"/>
      <c r="N311" s="864"/>
      <c r="O311" s="178" t="s">
        <v>72</v>
      </c>
      <c r="P311" s="178" t="s">
        <v>82</v>
      </c>
      <c r="Q311" s="178" t="s">
        <v>83</v>
      </c>
      <c r="R311" s="71"/>
      <c r="S311" s="71"/>
      <c r="T311" s="71"/>
      <c r="U311" s="71"/>
      <c r="V311" s="141"/>
    </row>
    <row r="312" spans="1:22" s="69" customFormat="1" ht="20.100000000000001" customHeight="1" x14ac:dyDescent="0.2">
      <c r="A312" s="179" t="str">
        <f>A301</f>
        <v/>
      </c>
      <c r="B312" s="180"/>
      <c r="C312" s="181"/>
      <c r="D312" s="164"/>
      <c r="E312" s="164"/>
      <c r="F312" s="164"/>
      <c r="G312" s="71"/>
      <c r="H312" s="71"/>
      <c r="I312" s="71"/>
      <c r="J312" s="143"/>
      <c r="K312" s="141"/>
      <c r="L312" s="179" t="str">
        <f>L301</f>
        <v/>
      </c>
      <c r="M312" s="180"/>
      <c r="N312" s="181"/>
      <c r="O312" s="164"/>
      <c r="P312" s="164"/>
      <c r="Q312" s="164"/>
      <c r="R312" s="71"/>
      <c r="S312" s="71"/>
      <c r="T312" s="71"/>
      <c r="U312" s="71"/>
      <c r="V312" s="141"/>
    </row>
    <row r="313" spans="1:22" s="69" customFormat="1" ht="20.100000000000001" customHeight="1" x14ac:dyDescent="0.2">
      <c r="A313" s="168"/>
      <c r="B313" s="182"/>
      <c r="C313" s="183"/>
      <c r="D313" s="167"/>
      <c r="E313" s="167"/>
      <c r="F313" s="167"/>
      <c r="G313" s="71"/>
      <c r="H313" s="71"/>
      <c r="I313" s="71"/>
      <c r="J313" s="143"/>
      <c r="K313" s="141"/>
      <c r="L313" s="168"/>
      <c r="M313" s="182"/>
      <c r="N313" s="183"/>
      <c r="O313" s="167"/>
      <c r="P313" s="167"/>
      <c r="Q313" s="167"/>
      <c r="R313" s="71"/>
      <c r="S313" s="71"/>
      <c r="T313" s="71"/>
      <c r="U313" s="71"/>
      <c r="V313" s="141"/>
    </row>
    <row r="314" spans="1:22" s="69" customFormat="1" ht="20.100000000000001" customHeight="1" x14ac:dyDescent="0.2">
      <c r="A314" s="179" t="str">
        <f>A306</f>
        <v/>
      </c>
      <c r="B314" s="180"/>
      <c r="C314" s="181"/>
      <c r="D314" s="164"/>
      <c r="E314" s="164"/>
      <c r="F314" s="164"/>
      <c r="G314" s="71"/>
      <c r="H314" s="71"/>
      <c r="I314" s="71"/>
      <c r="J314" s="143"/>
      <c r="K314" s="141"/>
      <c r="L314" s="179" t="str">
        <f>L306</f>
        <v/>
      </c>
      <c r="M314" s="180"/>
      <c r="N314" s="181"/>
      <c r="O314" s="164"/>
      <c r="P314" s="164"/>
      <c r="Q314" s="164"/>
      <c r="R314" s="71"/>
      <c r="S314" s="71"/>
      <c r="T314" s="71"/>
      <c r="U314" s="71"/>
      <c r="V314" s="141"/>
    </row>
    <row r="315" spans="1:22" s="69" customFormat="1" ht="20.100000000000001" customHeight="1" x14ac:dyDescent="0.2">
      <c r="A315" s="168"/>
      <c r="B315" s="182"/>
      <c r="C315" s="183"/>
      <c r="D315" s="167"/>
      <c r="E315" s="167"/>
      <c r="F315" s="167"/>
      <c r="G315" s="71"/>
      <c r="H315" s="71"/>
      <c r="I315" s="71"/>
      <c r="J315" s="143"/>
      <c r="K315" s="141"/>
      <c r="L315" s="168"/>
      <c r="M315" s="182"/>
      <c r="N315" s="183"/>
      <c r="O315" s="167"/>
      <c r="P315" s="167"/>
      <c r="Q315" s="167"/>
      <c r="R315" s="71"/>
      <c r="S315" s="71"/>
      <c r="T315" s="71"/>
      <c r="U315" s="71"/>
      <c r="V315" s="141"/>
    </row>
    <row r="316" spans="1:22" s="69" customFormat="1" ht="12.75" x14ac:dyDescent="0.2">
      <c r="A316" s="184" t="s">
        <v>86</v>
      </c>
      <c r="B316" s="71"/>
      <c r="C316" s="71"/>
      <c r="D316" s="71"/>
      <c r="E316" s="71"/>
      <c r="F316" s="71"/>
      <c r="G316" s="71"/>
      <c r="H316" s="71"/>
      <c r="I316" s="71"/>
      <c r="J316" s="143"/>
      <c r="K316" s="141"/>
      <c r="L316" s="184" t="s">
        <v>86</v>
      </c>
      <c r="M316" s="71"/>
      <c r="N316" s="71"/>
      <c r="O316" s="71"/>
      <c r="P316" s="71"/>
      <c r="Q316" s="71"/>
      <c r="R316" s="71"/>
      <c r="S316" s="71"/>
      <c r="T316" s="71"/>
      <c r="U316" s="71"/>
      <c r="V316" s="141"/>
    </row>
    <row r="317" spans="1:22" s="69" customFormat="1" ht="12.75" x14ac:dyDescent="0.2">
      <c r="A317" s="141"/>
      <c r="B317" s="71"/>
      <c r="C317" s="71"/>
      <c r="D317" s="71"/>
      <c r="E317" s="71"/>
      <c r="F317" s="71"/>
      <c r="G317" s="71"/>
      <c r="H317" s="71"/>
      <c r="I317" s="71"/>
      <c r="J317" s="143"/>
      <c r="K317" s="141"/>
      <c r="L317" s="141"/>
      <c r="M317" s="71"/>
      <c r="N317" s="71"/>
      <c r="O317" s="71"/>
      <c r="P317" s="71"/>
      <c r="Q317" s="71"/>
      <c r="R317" s="71"/>
      <c r="S317" s="71"/>
      <c r="T317" s="71"/>
      <c r="U317" s="71"/>
      <c r="V317" s="141"/>
    </row>
    <row r="318" spans="1:22" s="69" customFormat="1" ht="12.75" x14ac:dyDescent="0.2">
      <c r="A318" s="185" t="s">
        <v>84</v>
      </c>
      <c r="B318" s="182"/>
      <c r="C318" s="182"/>
      <c r="D318" s="182"/>
      <c r="E318" s="182"/>
      <c r="F318" s="182"/>
      <c r="G318" s="182"/>
      <c r="H318" s="182"/>
      <c r="I318" s="182"/>
      <c r="J318" s="183"/>
      <c r="K318" s="141"/>
      <c r="L318" s="185" t="s">
        <v>84</v>
      </c>
      <c r="M318" s="182"/>
      <c r="N318" s="182"/>
      <c r="O318" s="182"/>
      <c r="P318" s="182"/>
      <c r="Q318" s="182"/>
      <c r="R318" s="182"/>
      <c r="S318" s="182"/>
      <c r="T318" s="182"/>
      <c r="U318" s="182"/>
      <c r="V318" s="141"/>
    </row>
    <row r="319" spans="1:22" s="69" customFormat="1" ht="50.1" customHeight="1" x14ac:dyDescent="0.2">
      <c r="V319" s="71"/>
    </row>
    <row r="320" spans="1:22" s="69" customFormat="1" ht="50.1" customHeight="1" x14ac:dyDescent="0.2">
      <c r="V320" s="71"/>
    </row>
    <row r="321" spans="1:22" s="69" customFormat="1" ht="20.100000000000001" customHeight="1" x14ac:dyDescent="0.2">
      <c r="A321" s="877" t="str">
        <f>$A$1</f>
        <v>Circuit Décathlon</v>
      </c>
      <c r="B321" s="878"/>
      <c r="C321" s="878"/>
      <c r="D321" s="878"/>
      <c r="E321" s="878"/>
      <c r="F321" s="878"/>
      <c r="G321" s="878"/>
      <c r="H321" s="878"/>
      <c r="I321" s="878"/>
      <c r="J321" s="879"/>
      <c r="K321" s="141"/>
      <c r="L321" s="877" t="str">
        <f>$A$1</f>
        <v>Circuit Décathlon</v>
      </c>
      <c r="M321" s="878"/>
      <c r="N321" s="878"/>
      <c r="O321" s="878"/>
      <c r="P321" s="878"/>
      <c r="Q321" s="878"/>
      <c r="R321" s="878"/>
      <c r="S321" s="878"/>
      <c r="T321" s="878"/>
      <c r="U321" s="879"/>
      <c r="V321" s="141"/>
    </row>
    <row r="322" spans="1:22" s="69" customFormat="1" ht="15.75" x14ac:dyDescent="0.2">
      <c r="A322" s="141"/>
      <c r="B322" s="71"/>
      <c r="C322" s="71"/>
      <c r="D322" s="142" t="s">
        <v>78</v>
      </c>
      <c r="E322" s="191">
        <f>Rens!B38</f>
        <v>0</v>
      </c>
      <c r="F322" s="71"/>
      <c r="G322" s="71"/>
      <c r="H322" s="71"/>
      <c r="I322" s="71"/>
      <c r="J322" s="143"/>
      <c r="K322" s="141"/>
      <c r="L322" s="141"/>
      <c r="M322" s="71"/>
      <c r="N322" s="71"/>
      <c r="O322" s="142" t="s">
        <v>78</v>
      </c>
      <c r="P322" s="191">
        <f>Rens!B39</f>
        <v>0</v>
      </c>
      <c r="Q322" s="71"/>
      <c r="R322" s="71"/>
      <c r="S322" s="71"/>
      <c r="T322" s="71"/>
      <c r="U322" s="71"/>
      <c r="V322" s="141"/>
    </row>
    <row r="323" spans="1:22" s="69" customFormat="1" ht="18.75" x14ac:dyDescent="0.2">
      <c r="A323" s="144" t="s">
        <v>79</v>
      </c>
      <c r="B323" s="145" t="str">
        <f>$B$3</f>
        <v>FEM</v>
      </c>
      <c r="C323" s="71"/>
      <c r="D323" s="71"/>
      <c r="E323" s="71"/>
      <c r="F323" s="71"/>
      <c r="G323" s="71"/>
      <c r="H323" s="71"/>
      <c r="I323" s="71"/>
      <c r="J323" s="143"/>
      <c r="K323" s="141"/>
      <c r="L323" s="144" t="s">
        <v>79</v>
      </c>
      <c r="M323" s="145" t="str">
        <f>$B$3</f>
        <v>FEM</v>
      </c>
      <c r="N323" s="71"/>
      <c r="O323" s="71"/>
      <c r="P323" s="71"/>
      <c r="Q323" s="71"/>
      <c r="R323" s="71"/>
      <c r="S323" s="71"/>
      <c r="T323" s="71"/>
      <c r="U323" s="71"/>
      <c r="V323" s="141"/>
    </row>
    <row r="324" spans="1:22" s="69" customFormat="1" ht="18.75" x14ac:dyDescent="0.2">
      <c r="A324" s="875" t="s">
        <v>126</v>
      </c>
      <c r="B324" s="876"/>
      <c r="C324" s="876"/>
      <c r="D324" s="876"/>
      <c r="E324" s="71"/>
      <c r="F324" s="71"/>
      <c r="G324" s="72"/>
      <c r="H324" s="71"/>
      <c r="I324" s="71"/>
      <c r="J324" s="143"/>
      <c r="K324" s="141"/>
      <c r="L324" s="880" t="s">
        <v>127</v>
      </c>
      <c r="M324" s="876"/>
      <c r="N324" s="876"/>
      <c r="O324" s="876"/>
      <c r="P324" s="71"/>
      <c r="Q324" s="71"/>
      <c r="R324" s="72"/>
      <c r="S324" s="71"/>
      <c r="T324" s="71"/>
      <c r="U324" s="71"/>
      <c r="V324" s="141"/>
    </row>
    <row r="325" spans="1:22" s="155" customFormat="1" ht="18.75" x14ac:dyDescent="0.2">
      <c r="A325" s="154"/>
      <c r="B325" s="187" t="str">
        <f>IF(Tableau!R16="","",Tableau!R16)</f>
        <v/>
      </c>
      <c r="C325" s="152"/>
      <c r="D325" s="152"/>
      <c r="E325" s="73" t="s">
        <v>142</v>
      </c>
      <c r="F325" s="72">
        <f>Rens!C38</f>
        <v>0</v>
      </c>
      <c r="G325" s="152"/>
      <c r="H325" s="152"/>
      <c r="I325" s="152"/>
      <c r="J325" s="153"/>
      <c r="K325" s="154"/>
      <c r="L325" s="154"/>
      <c r="M325" s="187" t="str">
        <f>IF(Tableau!R12="","",Tableau!R12)</f>
        <v/>
      </c>
      <c r="N325" s="152"/>
      <c r="O325" s="152"/>
      <c r="P325" s="73" t="s">
        <v>142</v>
      </c>
      <c r="Q325" s="72">
        <f>Rens!C39</f>
        <v>0</v>
      </c>
      <c r="R325" s="152"/>
      <c r="S325" s="152"/>
      <c r="T325" s="152"/>
      <c r="U325" s="152"/>
      <c r="V325" s="154"/>
    </row>
    <row r="326" spans="1:22" s="69" customFormat="1" ht="15.75" x14ac:dyDescent="0.2">
      <c r="A326" s="192" t="s">
        <v>80</v>
      </c>
      <c r="B326" s="150" t="str">
        <f>IF(B325="","",VLOOKUP(B325,liste!$A$9:$G$145,2,FALSE))</f>
        <v/>
      </c>
      <c r="C326" s="193"/>
      <c r="D326" s="193"/>
      <c r="E326" s="193"/>
      <c r="F326" s="193"/>
      <c r="G326" s="193"/>
      <c r="H326" s="193"/>
      <c r="I326" s="71"/>
      <c r="J326" s="143"/>
      <c r="K326" s="141"/>
      <c r="L326" s="192" t="s">
        <v>80</v>
      </c>
      <c r="M326" s="150" t="str">
        <f>IF(M325="","",VLOOKUP(M325,liste!$A$9:$G$145,2,FALSE))</f>
        <v/>
      </c>
      <c r="N326" s="193"/>
      <c r="O326" s="193"/>
      <c r="P326" s="193"/>
      <c r="Q326" s="193"/>
      <c r="R326" s="193"/>
      <c r="S326" s="193"/>
      <c r="T326" s="71"/>
      <c r="U326" s="71"/>
      <c r="V326" s="141"/>
    </row>
    <row r="327" spans="1:22" s="69" customFormat="1" ht="20.100000000000001" customHeight="1" x14ac:dyDescent="0.2">
      <c r="A327" s="141"/>
      <c r="D327" s="865" t="s">
        <v>19</v>
      </c>
      <c r="E327" s="866"/>
      <c r="F327" s="866"/>
      <c r="G327" s="866"/>
      <c r="H327" s="866"/>
      <c r="I327" s="866"/>
      <c r="J327" s="867"/>
      <c r="K327" s="141"/>
      <c r="L327" s="156"/>
      <c r="M327" s="157"/>
      <c r="N327" s="157"/>
      <c r="O327" s="865" t="s">
        <v>19</v>
      </c>
      <c r="P327" s="866"/>
      <c r="Q327" s="866"/>
      <c r="R327" s="866"/>
      <c r="S327" s="866"/>
      <c r="T327" s="866"/>
      <c r="U327" s="867"/>
      <c r="V327" s="141"/>
    </row>
    <row r="328" spans="1:22" s="69" customFormat="1" ht="20.100000000000001" customHeight="1" x14ac:dyDescent="0.2">
      <c r="A328" s="868" t="s">
        <v>81</v>
      </c>
      <c r="B328" s="869"/>
      <c r="C328" s="869"/>
      <c r="D328" s="158">
        <v>1</v>
      </c>
      <c r="E328" s="158">
        <v>2</v>
      </c>
      <c r="F328" s="158">
        <v>3</v>
      </c>
      <c r="G328" s="158">
        <v>4</v>
      </c>
      <c r="H328" s="158">
        <v>5</v>
      </c>
      <c r="I328" s="158">
        <v>6</v>
      </c>
      <c r="J328" s="158">
        <v>7</v>
      </c>
      <c r="K328" s="141"/>
      <c r="L328" s="868" t="s">
        <v>81</v>
      </c>
      <c r="M328" s="869"/>
      <c r="N328" s="869"/>
      <c r="O328" s="158">
        <v>1</v>
      </c>
      <c r="P328" s="158">
        <v>2</v>
      </c>
      <c r="Q328" s="158">
        <v>3</v>
      </c>
      <c r="R328" s="158">
        <v>4</v>
      </c>
      <c r="S328" s="158">
        <v>5</v>
      </c>
      <c r="T328" s="158">
        <v>6</v>
      </c>
      <c r="U328" s="159">
        <v>7</v>
      </c>
      <c r="V328" s="141"/>
    </row>
    <row r="329" spans="1:22" s="69" customFormat="1" ht="20.100000000000001" customHeight="1" x14ac:dyDescent="0.2">
      <c r="A329" s="160"/>
      <c r="B329" s="161"/>
      <c r="C329" s="161"/>
      <c r="D329" s="870" t="s">
        <v>87</v>
      </c>
      <c r="E329" s="871"/>
      <c r="F329" s="871"/>
      <c r="G329" s="871"/>
      <c r="H329" s="871"/>
      <c r="I329" s="871"/>
      <c r="J329" s="872"/>
      <c r="K329" s="141"/>
      <c r="L329" s="160"/>
      <c r="M329" s="161"/>
      <c r="N329" s="161"/>
      <c r="O329" s="870" t="s">
        <v>87</v>
      </c>
      <c r="P329" s="871"/>
      <c r="Q329" s="871"/>
      <c r="R329" s="871"/>
      <c r="S329" s="871"/>
      <c r="T329" s="871"/>
      <c r="U329" s="872"/>
      <c r="V329" s="141"/>
    </row>
    <row r="330" spans="1:22" s="69" customFormat="1" ht="18.75" x14ac:dyDescent="0.2">
      <c r="A330" s="162" t="str">
        <f>IF(Tableau!D34="","",Tableau!D34)</f>
        <v/>
      </c>
      <c r="C330" s="71"/>
      <c r="D330" s="164"/>
      <c r="E330" s="164"/>
      <c r="F330" s="164"/>
      <c r="G330" s="164"/>
      <c r="H330" s="164"/>
      <c r="I330" s="164"/>
      <c r="J330" s="164"/>
      <c r="K330" s="141"/>
      <c r="L330" s="162" t="str">
        <f>Tableau!D41</f>
        <v/>
      </c>
      <c r="N330" s="71"/>
      <c r="O330" s="164"/>
      <c r="P330" s="164"/>
      <c r="Q330" s="164"/>
      <c r="R330" s="164"/>
      <c r="S330" s="164"/>
      <c r="T330" s="164"/>
      <c r="U330" s="165"/>
      <c r="V330" s="141"/>
    </row>
    <row r="331" spans="1:22" s="69" customFormat="1" ht="20.100000000000001" customHeight="1" x14ac:dyDescent="0.2">
      <c r="A331" s="873" t="str">
        <f>IF(A330="","",VLOOKUP(A330,liste!$A$9:$G$145,2,FALSE))</f>
        <v/>
      </c>
      <c r="B331" s="874" t="e">
        <v>#N/A</v>
      </c>
      <c r="C331" s="874" t="e">
        <v>#N/A</v>
      </c>
      <c r="D331" s="163"/>
      <c r="E331" s="163"/>
      <c r="F331" s="163"/>
      <c r="G331" s="163"/>
      <c r="H331" s="163"/>
      <c r="I331" s="163"/>
      <c r="J331" s="163"/>
      <c r="K331" s="141"/>
      <c r="L331" s="873" t="str">
        <f>IF(L330="","",VLOOKUP(L330,liste!$A$9:$G$145,2,FALSE))</f>
        <v/>
      </c>
      <c r="M331" s="874" t="e">
        <v>#N/A</v>
      </c>
      <c r="N331" s="874" t="e">
        <v>#N/A</v>
      </c>
      <c r="O331" s="163"/>
      <c r="P331" s="163"/>
      <c r="Q331" s="163"/>
      <c r="R331" s="163"/>
      <c r="S331" s="163"/>
      <c r="T331" s="163"/>
      <c r="U331" s="141"/>
      <c r="V331" s="141"/>
    </row>
    <row r="332" spans="1:22" s="69" customFormat="1" ht="20.100000000000001" customHeight="1" x14ac:dyDescent="0.2">
      <c r="A332" s="154"/>
      <c r="B332" s="152"/>
      <c r="C332" s="166" t="str">
        <f>IF(A330="","",VLOOKUP(A330,liste!$A$9:$G$145,4,FALSE))</f>
        <v/>
      </c>
      <c r="D332" s="167"/>
      <c r="E332" s="167"/>
      <c r="F332" s="167"/>
      <c r="G332" s="167"/>
      <c r="H332" s="167"/>
      <c r="I332" s="167"/>
      <c r="J332" s="167"/>
      <c r="K332" s="141"/>
      <c r="L332" s="154"/>
      <c r="M332" s="152"/>
      <c r="N332" s="166" t="str">
        <f>IF(L330="","",VLOOKUP(L330,liste!$A$9:$G$145,4,FALSE))</f>
        <v/>
      </c>
      <c r="O332" s="167"/>
      <c r="P332" s="167"/>
      <c r="Q332" s="167"/>
      <c r="R332" s="167"/>
      <c r="S332" s="167"/>
      <c r="T332" s="167"/>
      <c r="U332" s="168"/>
      <c r="V332" s="141"/>
    </row>
    <row r="333" spans="1:22" s="69" customFormat="1" ht="15.75" x14ac:dyDescent="0.2">
      <c r="A333" s="188" t="str">
        <f>IF(A330="","",VLOOKUP(A330,liste!$A$9:$G$145,3,FALSE))</f>
        <v/>
      </c>
      <c r="B333" s="152"/>
      <c r="C333" s="152"/>
      <c r="D333" s="170"/>
      <c r="E333" s="170"/>
      <c r="F333" s="170"/>
      <c r="G333" s="170"/>
      <c r="H333" s="170"/>
      <c r="I333" s="171"/>
      <c r="J333" s="171"/>
      <c r="K333" s="141"/>
      <c r="L333" s="188" t="str">
        <f>IF(L330="","",VLOOKUP(L330,liste!$A$9:$G$145,3,FALSE))</f>
        <v/>
      </c>
      <c r="M333" s="152"/>
      <c r="N333" s="152"/>
      <c r="O333" s="170"/>
      <c r="P333" s="170"/>
      <c r="Q333" s="170"/>
      <c r="R333" s="170"/>
      <c r="S333" s="170"/>
      <c r="T333" s="171"/>
      <c r="U333" s="172"/>
      <c r="V333" s="141"/>
    </row>
    <row r="334" spans="1:22" s="69" customFormat="1" ht="12.75" x14ac:dyDescent="0.2">
      <c r="A334" s="141"/>
      <c r="B334" s="70" t="s">
        <v>9</v>
      </c>
      <c r="C334" s="71"/>
      <c r="D334" s="173"/>
      <c r="E334" s="173"/>
      <c r="F334" s="173"/>
      <c r="G334" s="173"/>
      <c r="H334" s="173"/>
      <c r="I334" s="174"/>
      <c r="J334" s="174"/>
      <c r="K334" s="141"/>
      <c r="L334" s="141"/>
      <c r="M334" s="70" t="s">
        <v>9</v>
      </c>
      <c r="N334" s="71"/>
      <c r="O334" s="173"/>
      <c r="P334" s="173"/>
      <c r="Q334" s="173"/>
      <c r="R334" s="173"/>
      <c r="S334" s="173"/>
      <c r="T334" s="174"/>
      <c r="U334" s="175"/>
      <c r="V334" s="141"/>
    </row>
    <row r="335" spans="1:22" s="69" customFormat="1" ht="18.75" x14ac:dyDescent="0.2">
      <c r="A335" s="162" t="str">
        <f>IF(Tableau!D38="","",Tableau!D38)</f>
        <v/>
      </c>
      <c r="B335" s="189"/>
      <c r="C335" s="71"/>
      <c r="D335" s="164"/>
      <c r="E335" s="164"/>
      <c r="F335" s="164"/>
      <c r="G335" s="164"/>
      <c r="H335" s="164"/>
      <c r="I335" s="164"/>
      <c r="J335" s="164"/>
      <c r="K335" s="141"/>
      <c r="L335" s="162" t="str">
        <f>Tableau!D43</f>
        <v/>
      </c>
      <c r="N335" s="71"/>
      <c r="O335" s="164"/>
      <c r="P335" s="164"/>
      <c r="Q335" s="164"/>
      <c r="R335" s="164"/>
      <c r="S335" s="164"/>
      <c r="T335" s="164"/>
      <c r="U335" s="165"/>
      <c r="V335" s="141"/>
    </row>
    <row r="336" spans="1:22" s="69" customFormat="1" ht="20.100000000000001" customHeight="1" x14ac:dyDescent="0.2">
      <c r="A336" s="873" t="str">
        <f>IF(A335="","",VLOOKUP(A335,liste!$A$9:$G$145,2,FALSE))</f>
        <v/>
      </c>
      <c r="B336" s="874" t="e">
        <v>#N/A</v>
      </c>
      <c r="C336" s="874" t="e">
        <v>#N/A</v>
      </c>
      <c r="D336" s="163"/>
      <c r="E336" s="163"/>
      <c r="F336" s="163"/>
      <c r="G336" s="163"/>
      <c r="H336" s="163"/>
      <c r="I336" s="163"/>
      <c r="J336" s="163"/>
      <c r="K336" s="141"/>
      <c r="L336" s="873" t="str">
        <f>IF(L335="","",VLOOKUP(L335,liste!$A$9:$G$145,2,FALSE))</f>
        <v/>
      </c>
      <c r="M336" s="874" t="e">
        <v>#N/A</v>
      </c>
      <c r="N336" s="874" t="e">
        <v>#N/A</v>
      </c>
      <c r="O336" s="163"/>
      <c r="P336" s="163"/>
      <c r="Q336" s="163"/>
      <c r="R336" s="163"/>
      <c r="S336" s="163"/>
      <c r="T336" s="163"/>
      <c r="U336" s="141"/>
      <c r="V336" s="141"/>
    </row>
    <row r="337" spans="1:22" s="69" customFormat="1" ht="20.100000000000001" customHeight="1" x14ac:dyDescent="0.2">
      <c r="A337" s="154"/>
      <c r="B337" s="152"/>
      <c r="C337" s="166" t="str">
        <f>IF(A335="","",VLOOKUP(A335,liste!$A$9:$G$145,4,FALSE))</f>
        <v/>
      </c>
      <c r="D337" s="167"/>
      <c r="E337" s="167"/>
      <c r="F337" s="167"/>
      <c r="G337" s="167"/>
      <c r="H337" s="167"/>
      <c r="I337" s="167"/>
      <c r="J337" s="167"/>
      <c r="K337" s="141"/>
      <c r="L337" s="154"/>
      <c r="M337" s="152"/>
      <c r="N337" s="166" t="str">
        <f>IF(L335="","",VLOOKUP(L335,liste!$A$9:$G$145,4,FALSE))</f>
        <v/>
      </c>
      <c r="O337" s="167"/>
      <c r="P337" s="167"/>
      <c r="Q337" s="167"/>
      <c r="R337" s="167"/>
      <c r="S337" s="167"/>
      <c r="T337" s="167"/>
      <c r="U337" s="168"/>
      <c r="V337" s="141"/>
    </row>
    <row r="338" spans="1:22" s="69" customFormat="1" ht="15.75" x14ac:dyDescent="0.2">
      <c r="A338" s="190" t="str">
        <f>IF(A335="","",VLOOKUP(A335,liste!$A$9:$G$145,3,FALSE))</f>
        <v/>
      </c>
      <c r="B338" s="152"/>
      <c r="C338" s="152"/>
      <c r="D338" s="170"/>
      <c r="E338" s="170"/>
      <c r="F338" s="170"/>
      <c r="G338" s="170"/>
      <c r="H338" s="170"/>
      <c r="I338" s="171"/>
      <c r="J338" s="171"/>
      <c r="K338" s="141"/>
      <c r="L338" s="188" t="str">
        <f>IF(L335="","",VLOOKUP(L335,liste!$A$9:$G$145,3,FALSE))</f>
        <v/>
      </c>
      <c r="M338" s="152"/>
      <c r="N338" s="152"/>
      <c r="O338" s="170"/>
      <c r="P338" s="170"/>
      <c r="Q338" s="170"/>
      <c r="R338" s="170"/>
      <c r="S338" s="170"/>
      <c r="T338" s="171"/>
      <c r="U338" s="172"/>
      <c r="V338" s="141"/>
    </row>
    <row r="339" spans="1:22" s="69" customFormat="1" ht="12.75" x14ac:dyDescent="0.2">
      <c r="A339" s="141"/>
      <c r="B339" s="71"/>
      <c r="C339" s="71"/>
      <c r="D339" s="173"/>
      <c r="E339" s="173"/>
      <c r="F339" s="173"/>
      <c r="G339" s="173"/>
      <c r="H339" s="173"/>
      <c r="I339" s="174"/>
      <c r="J339" s="174"/>
      <c r="K339" s="141"/>
      <c r="L339" s="141"/>
      <c r="M339" s="71"/>
      <c r="N339" s="71"/>
      <c r="O339" s="173"/>
      <c r="P339" s="173"/>
      <c r="Q339" s="173"/>
      <c r="R339" s="173"/>
      <c r="S339" s="173"/>
      <c r="T339" s="174"/>
      <c r="U339" s="175"/>
      <c r="V339" s="141"/>
    </row>
    <row r="340" spans="1:22" s="69" customFormat="1" ht="12.75" x14ac:dyDescent="0.2">
      <c r="A340" s="141"/>
      <c r="B340" s="71"/>
      <c r="C340" s="71"/>
      <c r="D340" s="71"/>
      <c r="E340" s="71"/>
      <c r="F340" s="71"/>
      <c r="G340" s="71"/>
      <c r="H340" s="71"/>
      <c r="I340" s="71"/>
      <c r="J340" s="143"/>
      <c r="K340" s="141"/>
      <c r="L340" s="141"/>
      <c r="M340" s="71"/>
      <c r="N340" s="71"/>
      <c r="O340" s="71"/>
      <c r="P340" s="71"/>
      <c r="Q340" s="71"/>
      <c r="R340" s="71"/>
      <c r="S340" s="71"/>
      <c r="T340" s="71"/>
      <c r="U340" s="71"/>
      <c r="V340" s="141"/>
    </row>
    <row r="341" spans="1:22" s="69" customFormat="1" ht="20.100000000000001" customHeight="1" x14ac:dyDescent="0.2">
      <c r="A341" s="863" t="s">
        <v>85</v>
      </c>
      <c r="B341" s="864"/>
      <c r="C341" s="864"/>
      <c r="D341" s="178" t="s">
        <v>72</v>
      </c>
      <c r="E341" s="178" t="s">
        <v>82</v>
      </c>
      <c r="F341" s="178" t="s">
        <v>83</v>
      </c>
      <c r="G341" s="71"/>
      <c r="H341" s="71"/>
      <c r="I341" s="71"/>
      <c r="J341" s="143"/>
      <c r="K341" s="141"/>
      <c r="L341" s="863" t="s">
        <v>85</v>
      </c>
      <c r="M341" s="864"/>
      <c r="N341" s="864"/>
      <c r="O341" s="178" t="s">
        <v>72</v>
      </c>
      <c r="P341" s="178" t="s">
        <v>82</v>
      </c>
      <c r="Q341" s="178" t="s">
        <v>83</v>
      </c>
      <c r="R341" s="71"/>
      <c r="S341" s="71"/>
      <c r="T341" s="71"/>
      <c r="U341" s="71"/>
      <c r="V341" s="141"/>
    </row>
    <row r="342" spans="1:22" s="69" customFormat="1" ht="20.100000000000001" customHeight="1" x14ac:dyDescent="0.2">
      <c r="A342" s="179" t="str">
        <f>A331</f>
        <v/>
      </c>
      <c r="B342" s="180"/>
      <c r="C342" s="181"/>
      <c r="D342" s="164"/>
      <c r="E342" s="164"/>
      <c r="F342" s="164"/>
      <c r="G342" s="71"/>
      <c r="H342" s="71"/>
      <c r="I342" s="71"/>
      <c r="J342" s="143"/>
      <c r="K342" s="141"/>
      <c r="L342" s="179" t="str">
        <f>L331</f>
        <v/>
      </c>
      <c r="M342" s="180"/>
      <c r="N342" s="181"/>
      <c r="O342" s="164"/>
      <c r="P342" s="164"/>
      <c r="Q342" s="164"/>
      <c r="R342" s="71"/>
      <c r="S342" s="71"/>
      <c r="T342" s="71"/>
      <c r="U342" s="71"/>
      <c r="V342" s="141"/>
    </row>
    <row r="343" spans="1:22" s="69" customFormat="1" ht="20.100000000000001" customHeight="1" x14ac:dyDescent="0.2">
      <c r="A343" s="168"/>
      <c r="B343" s="182"/>
      <c r="C343" s="183"/>
      <c r="D343" s="167"/>
      <c r="E343" s="167"/>
      <c r="F343" s="167"/>
      <c r="G343" s="71"/>
      <c r="H343" s="71"/>
      <c r="I343" s="71"/>
      <c r="J343" s="143"/>
      <c r="K343" s="141"/>
      <c r="L343" s="168"/>
      <c r="M343" s="182"/>
      <c r="N343" s="183"/>
      <c r="O343" s="167"/>
      <c r="P343" s="167"/>
      <c r="Q343" s="167"/>
      <c r="R343" s="71"/>
      <c r="S343" s="71"/>
      <c r="T343" s="71"/>
      <c r="U343" s="71"/>
      <c r="V343" s="141"/>
    </row>
    <row r="344" spans="1:22" s="69" customFormat="1" ht="20.100000000000001" customHeight="1" x14ac:dyDescent="0.2">
      <c r="A344" s="179" t="str">
        <f>A336</f>
        <v/>
      </c>
      <c r="B344" s="180"/>
      <c r="C344" s="181"/>
      <c r="D344" s="164"/>
      <c r="E344" s="164"/>
      <c r="F344" s="164"/>
      <c r="G344" s="71"/>
      <c r="H344" s="71"/>
      <c r="I344" s="71"/>
      <c r="J344" s="143"/>
      <c r="K344" s="141"/>
      <c r="L344" s="179" t="str">
        <f>L336</f>
        <v/>
      </c>
      <c r="M344" s="180"/>
      <c r="N344" s="181"/>
      <c r="O344" s="164"/>
      <c r="P344" s="164"/>
      <c r="Q344" s="164"/>
      <c r="R344" s="71"/>
      <c r="S344" s="71"/>
      <c r="T344" s="71"/>
      <c r="U344" s="71"/>
      <c r="V344" s="141"/>
    </row>
    <row r="345" spans="1:22" s="69" customFormat="1" ht="20.100000000000001" customHeight="1" x14ac:dyDescent="0.2">
      <c r="A345" s="168"/>
      <c r="B345" s="182"/>
      <c r="C345" s="183"/>
      <c r="D345" s="167"/>
      <c r="E345" s="167"/>
      <c r="F345" s="167"/>
      <c r="G345" s="71"/>
      <c r="H345" s="71"/>
      <c r="I345" s="71"/>
      <c r="J345" s="143"/>
      <c r="K345" s="141"/>
      <c r="L345" s="168"/>
      <c r="M345" s="182"/>
      <c r="N345" s="183"/>
      <c r="O345" s="167"/>
      <c r="P345" s="167"/>
      <c r="Q345" s="167"/>
      <c r="R345" s="71"/>
      <c r="S345" s="71"/>
      <c r="T345" s="71"/>
      <c r="U345" s="71"/>
      <c r="V345" s="141"/>
    </row>
    <row r="346" spans="1:22" s="69" customFormat="1" ht="12.75" x14ac:dyDescent="0.2">
      <c r="A346" s="184" t="s">
        <v>86</v>
      </c>
      <c r="B346" s="71"/>
      <c r="C346" s="71"/>
      <c r="D346" s="71"/>
      <c r="E346" s="71"/>
      <c r="F346" s="71"/>
      <c r="G346" s="71"/>
      <c r="H346" s="71"/>
      <c r="I346" s="71"/>
      <c r="J346" s="143"/>
      <c r="K346" s="141"/>
      <c r="L346" s="184" t="s">
        <v>86</v>
      </c>
      <c r="M346" s="71"/>
      <c r="N346" s="71"/>
      <c r="O346" s="71"/>
      <c r="P346" s="71"/>
      <c r="Q346" s="71"/>
      <c r="R346" s="71"/>
      <c r="S346" s="71"/>
      <c r="T346" s="71"/>
      <c r="U346" s="71"/>
      <c r="V346" s="141"/>
    </row>
    <row r="347" spans="1:22" s="69" customFormat="1" ht="12.75" x14ac:dyDescent="0.2">
      <c r="A347" s="141"/>
      <c r="B347" s="71"/>
      <c r="C347" s="71"/>
      <c r="D347" s="71"/>
      <c r="E347" s="71"/>
      <c r="F347" s="71"/>
      <c r="G347" s="71"/>
      <c r="H347" s="71"/>
      <c r="I347" s="71"/>
      <c r="J347" s="143"/>
      <c r="K347" s="141"/>
      <c r="L347" s="141"/>
      <c r="M347" s="71"/>
      <c r="N347" s="71"/>
      <c r="O347" s="71"/>
      <c r="P347" s="71"/>
      <c r="Q347" s="71"/>
      <c r="R347" s="71"/>
      <c r="S347" s="71"/>
      <c r="T347" s="71"/>
      <c r="U347" s="71"/>
      <c r="V347" s="141"/>
    </row>
    <row r="348" spans="1:22" s="69" customFormat="1" ht="12.75" x14ac:dyDescent="0.2">
      <c r="A348" s="185" t="s">
        <v>84</v>
      </c>
      <c r="B348" s="182"/>
      <c r="C348" s="182"/>
      <c r="D348" s="182"/>
      <c r="E348" s="182"/>
      <c r="F348" s="182"/>
      <c r="G348" s="182"/>
      <c r="H348" s="182"/>
      <c r="I348" s="182"/>
      <c r="J348" s="183"/>
      <c r="K348" s="141"/>
      <c r="L348" s="185" t="s">
        <v>84</v>
      </c>
      <c r="M348" s="182"/>
      <c r="N348" s="182"/>
      <c r="O348" s="182"/>
      <c r="P348" s="182"/>
      <c r="Q348" s="182"/>
      <c r="R348" s="182"/>
      <c r="S348" s="182"/>
      <c r="T348" s="182"/>
      <c r="U348" s="182"/>
      <c r="V348" s="141"/>
    </row>
    <row r="349" spans="1:22" s="69" customFormat="1" ht="15.75" customHeight="1" x14ac:dyDescent="0.2">
      <c r="A349" s="877" t="str">
        <f>liste!$A$4</f>
        <v>Circuit Décathlon</v>
      </c>
      <c r="B349" s="878"/>
      <c r="C349" s="878"/>
      <c r="D349" s="878"/>
      <c r="E349" s="878"/>
      <c r="F349" s="878"/>
      <c r="G349" s="878"/>
      <c r="H349" s="878"/>
      <c r="I349" s="878"/>
      <c r="J349" s="879"/>
      <c r="K349" s="141"/>
      <c r="L349" s="877" t="str">
        <f>$A$1</f>
        <v>Circuit Décathlon</v>
      </c>
      <c r="M349" s="878"/>
      <c r="N349" s="878"/>
      <c r="O349" s="878"/>
      <c r="P349" s="878"/>
      <c r="Q349" s="878"/>
      <c r="R349" s="878"/>
      <c r="S349" s="878"/>
      <c r="T349" s="878"/>
      <c r="U349" s="879"/>
      <c r="V349" s="141"/>
    </row>
    <row r="350" spans="1:22" s="69" customFormat="1" ht="15.75" x14ac:dyDescent="0.2">
      <c r="A350" s="141"/>
      <c r="B350" s="71"/>
      <c r="C350" s="71"/>
      <c r="D350" s="142" t="s">
        <v>78</v>
      </c>
      <c r="E350" s="191">
        <f>Rens!F36</f>
        <v>0</v>
      </c>
      <c r="F350" s="71"/>
      <c r="G350" s="71"/>
      <c r="H350" s="71"/>
      <c r="I350" s="71"/>
      <c r="J350" s="143"/>
      <c r="K350" s="141"/>
      <c r="L350" s="141"/>
      <c r="M350" s="71"/>
      <c r="N350" s="71"/>
      <c r="O350" s="142" t="s">
        <v>78</v>
      </c>
      <c r="P350" s="191">
        <f>Rens!F37</f>
        <v>0</v>
      </c>
      <c r="Q350" s="71"/>
      <c r="R350" s="71"/>
      <c r="S350" s="71"/>
      <c r="T350" s="71"/>
      <c r="U350" s="71"/>
      <c r="V350" s="141"/>
    </row>
    <row r="351" spans="1:22" s="69" customFormat="1" ht="18.75" x14ac:dyDescent="0.2">
      <c r="A351" s="144" t="s">
        <v>79</v>
      </c>
      <c r="B351" s="145" t="str">
        <f>liste!$A$6</f>
        <v>FEM</v>
      </c>
      <c r="C351" s="71"/>
      <c r="D351" s="71"/>
      <c r="E351" s="71"/>
      <c r="F351" s="71"/>
      <c r="G351" s="71"/>
      <c r="H351" s="71"/>
      <c r="I351" s="71"/>
      <c r="J351" s="143"/>
      <c r="K351" s="141"/>
      <c r="L351" s="144" t="s">
        <v>79</v>
      </c>
      <c r="M351" s="145" t="str">
        <f>$B$3</f>
        <v>FEM</v>
      </c>
      <c r="N351" s="71"/>
      <c r="O351" s="71"/>
      <c r="P351" s="71"/>
      <c r="Q351" s="71"/>
      <c r="R351" s="71"/>
      <c r="S351" s="71"/>
      <c r="T351" s="71"/>
      <c r="U351" s="71"/>
      <c r="V351" s="141"/>
    </row>
    <row r="352" spans="1:22" s="69" customFormat="1" ht="18.75" x14ac:dyDescent="0.2">
      <c r="A352" s="880" t="s">
        <v>163</v>
      </c>
      <c r="B352" s="876"/>
      <c r="C352" s="876"/>
      <c r="D352" s="876"/>
      <c r="E352" s="71"/>
      <c r="F352" s="71"/>
      <c r="G352" s="195"/>
      <c r="H352" s="71"/>
      <c r="I352" s="71"/>
      <c r="J352" s="143"/>
      <c r="K352" s="141"/>
      <c r="L352" s="880" t="s">
        <v>128</v>
      </c>
      <c r="M352" s="876"/>
      <c r="N352" s="876"/>
      <c r="O352" s="876"/>
      <c r="P352" s="71"/>
      <c r="Q352" s="71"/>
      <c r="R352" s="72"/>
      <c r="S352" s="71"/>
      <c r="T352" s="71"/>
      <c r="U352" s="71"/>
      <c r="V352" s="141"/>
    </row>
    <row r="353" spans="1:22" s="155" customFormat="1" ht="18.75" x14ac:dyDescent="0.2">
      <c r="A353" s="154"/>
      <c r="B353" s="187" t="str">
        <f>Tableau!J28</f>
        <v/>
      </c>
      <c r="C353" s="152"/>
      <c r="D353" s="152"/>
      <c r="E353" s="73" t="s">
        <v>142</v>
      </c>
      <c r="F353" s="72">
        <f>Rens!G36</f>
        <v>0</v>
      </c>
      <c r="G353" s="152"/>
      <c r="H353" s="152"/>
      <c r="I353" s="152"/>
      <c r="J353" s="153"/>
      <c r="K353" s="154"/>
      <c r="L353" s="154"/>
      <c r="M353" s="187" t="str">
        <f>Tableau!J20</f>
        <v/>
      </c>
      <c r="N353" s="152"/>
      <c r="O353" s="152"/>
      <c r="P353" s="73" t="s">
        <v>142</v>
      </c>
      <c r="Q353" s="72">
        <f>Rens!G37</f>
        <v>0</v>
      </c>
      <c r="R353" s="152"/>
      <c r="S353" s="152"/>
      <c r="T353" s="152"/>
      <c r="U353" s="152"/>
      <c r="V353" s="154"/>
    </row>
    <row r="354" spans="1:22" s="69" customFormat="1" ht="15.75" x14ac:dyDescent="0.2">
      <c r="A354" s="192" t="s">
        <v>80</v>
      </c>
      <c r="B354" s="150" t="str">
        <f>IF(B353="","",VLOOKUP(B353,liste!$A$9:$G$145,2,FALSE))</f>
        <v/>
      </c>
      <c r="C354" s="193"/>
      <c r="D354" s="193"/>
      <c r="E354" s="193"/>
      <c r="F354" s="193"/>
      <c r="G354" s="193"/>
      <c r="H354" s="193"/>
      <c r="I354" s="71"/>
      <c r="J354" s="143"/>
      <c r="K354" s="141"/>
      <c r="L354" s="192" t="s">
        <v>80</v>
      </c>
      <c r="M354" s="150" t="str">
        <f>IF(M353="","",VLOOKUP(M353,liste!$A$9:$G$145,2,FALSE))</f>
        <v/>
      </c>
      <c r="N354" s="193"/>
      <c r="O354" s="193"/>
      <c r="P354" s="193"/>
      <c r="Q354" s="193"/>
      <c r="R354" s="193"/>
      <c r="S354" s="193"/>
      <c r="T354" s="71"/>
      <c r="U354" s="71"/>
      <c r="V354" s="141"/>
    </row>
    <row r="355" spans="1:22" s="69" customFormat="1" ht="20.100000000000001" customHeight="1" x14ac:dyDescent="0.2">
      <c r="A355" s="141"/>
      <c r="B355" s="71"/>
      <c r="C355" s="71"/>
      <c r="D355" s="865" t="s">
        <v>19</v>
      </c>
      <c r="E355" s="866"/>
      <c r="F355" s="866"/>
      <c r="G355" s="866"/>
      <c r="H355" s="866"/>
      <c r="I355" s="866"/>
      <c r="J355" s="867"/>
      <c r="K355" s="141"/>
      <c r="L355" s="156"/>
      <c r="M355" s="157"/>
      <c r="N355" s="157"/>
      <c r="O355" s="865" t="s">
        <v>19</v>
      </c>
      <c r="P355" s="866"/>
      <c r="Q355" s="866"/>
      <c r="R355" s="866"/>
      <c r="S355" s="866"/>
      <c r="T355" s="866"/>
      <c r="U355" s="867"/>
      <c r="V355" s="141"/>
    </row>
    <row r="356" spans="1:22" s="69" customFormat="1" ht="20.100000000000001" customHeight="1" x14ac:dyDescent="0.2">
      <c r="A356" s="868" t="s">
        <v>81</v>
      </c>
      <c r="B356" s="869"/>
      <c r="C356" s="869"/>
      <c r="D356" s="158">
        <v>1</v>
      </c>
      <c r="E356" s="158">
        <v>2</v>
      </c>
      <c r="F356" s="158">
        <v>3</v>
      </c>
      <c r="G356" s="158">
        <v>4</v>
      </c>
      <c r="H356" s="158">
        <v>5</v>
      </c>
      <c r="I356" s="158">
        <v>6</v>
      </c>
      <c r="J356" s="158">
        <v>7</v>
      </c>
      <c r="K356" s="141"/>
      <c r="L356" s="868" t="s">
        <v>81</v>
      </c>
      <c r="M356" s="869"/>
      <c r="N356" s="869"/>
      <c r="O356" s="158">
        <v>1</v>
      </c>
      <c r="P356" s="158">
        <v>2</v>
      </c>
      <c r="Q356" s="158">
        <v>3</v>
      </c>
      <c r="R356" s="158">
        <v>4</v>
      </c>
      <c r="S356" s="158">
        <v>5</v>
      </c>
      <c r="T356" s="158">
        <v>6</v>
      </c>
      <c r="U356" s="159">
        <v>7</v>
      </c>
      <c r="V356" s="141"/>
    </row>
    <row r="357" spans="1:22" s="69" customFormat="1" ht="20.100000000000001" customHeight="1" x14ac:dyDescent="0.2">
      <c r="A357" s="160"/>
      <c r="B357" s="161"/>
      <c r="C357" s="161"/>
      <c r="D357" s="870" t="s">
        <v>87</v>
      </c>
      <c r="E357" s="871"/>
      <c r="F357" s="871"/>
      <c r="G357" s="871"/>
      <c r="H357" s="871"/>
      <c r="I357" s="871"/>
      <c r="J357" s="872"/>
      <c r="K357" s="141"/>
      <c r="L357" s="160"/>
      <c r="M357" s="161"/>
      <c r="N357" s="161"/>
      <c r="O357" s="870" t="s">
        <v>87</v>
      </c>
      <c r="P357" s="871"/>
      <c r="Q357" s="871"/>
      <c r="R357" s="871"/>
      <c r="S357" s="871"/>
      <c r="T357" s="871"/>
      <c r="U357" s="872"/>
      <c r="V357" s="141"/>
    </row>
    <row r="358" spans="1:22" s="69" customFormat="1" ht="18.75" x14ac:dyDescent="0.2">
      <c r="A358" s="162" t="str">
        <f>IF(Tableau!X14="","",Tableau!X14)</f>
        <v/>
      </c>
      <c r="B358" s="71"/>
      <c r="C358" s="71"/>
      <c r="D358" s="163"/>
      <c r="E358" s="163"/>
      <c r="F358" s="163"/>
      <c r="G358" s="163"/>
      <c r="H358" s="163"/>
      <c r="I358" s="163"/>
      <c r="J358" s="163"/>
      <c r="K358" s="141"/>
      <c r="L358" s="162" t="str">
        <f>Tableau!X29</f>
        <v/>
      </c>
      <c r="M358" s="71"/>
      <c r="N358" s="71"/>
      <c r="O358" s="164"/>
      <c r="P358" s="164"/>
      <c r="Q358" s="164"/>
      <c r="R358" s="164"/>
      <c r="S358" s="164"/>
      <c r="T358" s="164"/>
      <c r="U358" s="165"/>
      <c r="V358" s="141"/>
    </row>
    <row r="359" spans="1:22" s="69" customFormat="1" ht="20.100000000000001" customHeight="1" x14ac:dyDescent="0.2">
      <c r="A359" s="873" t="str">
        <f>IF(A358="","",VLOOKUP(A358,liste!$A$9:$G$145,2,FALSE))</f>
        <v/>
      </c>
      <c r="B359" s="874" t="e">
        <v>#N/A</v>
      </c>
      <c r="C359" s="874" t="e">
        <v>#N/A</v>
      </c>
      <c r="D359" s="163"/>
      <c r="E359" s="163"/>
      <c r="F359" s="163"/>
      <c r="G359" s="163"/>
      <c r="H359" s="163"/>
      <c r="I359" s="163"/>
      <c r="J359" s="163"/>
      <c r="K359" s="141"/>
      <c r="L359" s="873" t="str">
        <f>IF(L358="","",VLOOKUP(L358,liste!$A$9:$G$145,2,FALSE))</f>
        <v/>
      </c>
      <c r="M359" s="874" t="e">
        <v>#N/A</v>
      </c>
      <c r="N359" s="874" t="e">
        <v>#N/A</v>
      </c>
      <c r="O359" s="163"/>
      <c r="P359" s="163"/>
      <c r="Q359" s="163"/>
      <c r="R359" s="163"/>
      <c r="S359" s="163"/>
      <c r="T359" s="163"/>
      <c r="U359" s="141"/>
      <c r="V359" s="141"/>
    </row>
    <row r="360" spans="1:22" s="69" customFormat="1" ht="20.100000000000001" customHeight="1" x14ac:dyDescent="0.2">
      <c r="A360" s="154"/>
      <c r="B360" s="152"/>
      <c r="C360" s="166" t="str">
        <f>IF(A358="","",VLOOKUP(A358,liste!$A$9:$G$145,4,FALSE))</f>
        <v/>
      </c>
      <c r="D360" s="167"/>
      <c r="E360" s="167"/>
      <c r="F360" s="167"/>
      <c r="G360" s="167"/>
      <c r="H360" s="167"/>
      <c r="I360" s="167"/>
      <c r="J360" s="167"/>
      <c r="K360" s="141"/>
      <c r="L360" s="154"/>
      <c r="M360" s="152"/>
      <c r="N360" s="166" t="str">
        <f>IF(L358="","",VLOOKUP(L358,liste!$A$9:$G$145,4,FALSE))</f>
        <v/>
      </c>
      <c r="O360" s="167"/>
      <c r="P360" s="167"/>
      <c r="Q360" s="167"/>
      <c r="R360" s="167"/>
      <c r="S360" s="167"/>
      <c r="T360" s="167"/>
      <c r="U360" s="168"/>
      <c r="V360" s="141"/>
    </row>
    <row r="361" spans="1:22" s="69" customFormat="1" ht="15.75" x14ac:dyDescent="0.2">
      <c r="A361" s="169" t="str">
        <f>IF(A358="","",VLOOKUP(A358,liste!$A$9:$G$145,3,FALSE))</f>
        <v/>
      </c>
      <c r="B361" s="152"/>
      <c r="C361" s="152"/>
      <c r="D361" s="170"/>
      <c r="E361" s="170"/>
      <c r="F361" s="170"/>
      <c r="G361" s="170"/>
      <c r="H361" s="170"/>
      <c r="I361" s="171"/>
      <c r="J361" s="171"/>
      <c r="K361" s="141"/>
      <c r="L361" s="169" t="str">
        <f>IF(L358="","",VLOOKUP(L358,liste!$A$9:$G$145,3,FALSE))</f>
        <v/>
      </c>
      <c r="M361" s="152"/>
      <c r="N361" s="152"/>
      <c r="O361" s="170"/>
      <c r="P361" s="170"/>
      <c r="Q361" s="170"/>
      <c r="R361" s="170"/>
      <c r="S361" s="170"/>
      <c r="T361" s="171"/>
      <c r="U361" s="172"/>
      <c r="V361" s="141"/>
    </row>
    <row r="362" spans="1:22" s="69" customFormat="1" ht="12.75" x14ac:dyDescent="0.2">
      <c r="A362" s="141"/>
      <c r="B362" s="70" t="s">
        <v>9</v>
      </c>
      <c r="C362" s="71"/>
      <c r="D362" s="173"/>
      <c r="E362" s="173"/>
      <c r="F362" s="173"/>
      <c r="G362" s="173"/>
      <c r="H362" s="173"/>
      <c r="I362" s="174"/>
      <c r="J362" s="174"/>
      <c r="K362" s="141"/>
      <c r="L362" s="141"/>
      <c r="M362" s="70" t="s">
        <v>9</v>
      </c>
      <c r="N362" s="71"/>
      <c r="O362" s="173"/>
      <c r="P362" s="173"/>
      <c r="Q362" s="173"/>
      <c r="R362" s="173"/>
      <c r="S362" s="173"/>
      <c r="T362" s="174"/>
      <c r="U362" s="175"/>
      <c r="V362" s="141"/>
    </row>
    <row r="363" spans="1:22" s="69" customFormat="1" ht="18.75" x14ac:dyDescent="0.2">
      <c r="A363" s="162">
        <f>Tableau!X24</f>
        <v>0</v>
      </c>
      <c r="B363" s="71"/>
      <c r="C363" s="71"/>
      <c r="D363" s="164"/>
      <c r="E363" s="164"/>
      <c r="F363" s="164"/>
      <c r="G363" s="164"/>
      <c r="H363" s="164"/>
      <c r="I363" s="164"/>
      <c r="J363" s="164"/>
      <c r="K363" s="141"/>
      <c r="L363" s="162" t="str">
        <f>Tableau!X31</f>
        <v/>
      </c>
      <c r="M363" s="71"/>
      <c r="N363" s="71"/>
      <c r="O363" s="164"/>
      <c r="P363" s="164"/>
      <c r="Q363" s="164"/>
      <c r="R363" s="164"/>
      <c r="S363" s="164"/>
      <c r="T363" s="164"/>
      <c r="U363" s="165"/>
      <c r="V363" s="141"/>
    </row>
    <row r="364" spans="1:22" s="69" customFormat="1" ht="20.100000000000001" customHeight="1" x14ac:dyDescent="0.2">
      <c r="A364" s="873" t="e">
        <f>IF(A363="","",VLOOKUP(A363,liste!$A$9:$G$145,2,FALSE))</f>
        <v>#N/A</v>
      </c>
      <c r="B364" s="874" t="e">
        <v>#N/A</v>
      </c>
      <c r="C364" s="874" t="e">
        <v>#N/A</v>
      </c>
      <c r="D364" s="163"/>
      <c r="E364" s="163"/>
      <c r="F364" s="163"/>
      <c r="G364" s="163"/>
      <c r="H364" s="163"/>
      <c r="I364" s="163"/>
      <c r="J364" s="163"/>
      <c r="K364" s="141"/>
      <c r="L364" s="873" t="str">
        <f>IF(L363="","",VLOOKUP(L363,liste!$A$9:$G$145,2,FALSE))</f>
        <v/>
      </c>
      <c r="M364" s="874" t="e">
        <v>#N/A</v>
      </c>
      <c r="N364" s="874" t="e">
        <v>#N/A</v>
      </c>
      <c r="O364" s="163"/>
      <c r="P364" s="163"/>
      <c r="Q364" s="163"/>
      <c r="R364" s="163"/>
      <c r="S364" s="163"/>
      <c r="T364" s="163"/>
      <c r="U364" s="141"/>
      <c r="V364" s="141"/>
    </row>
    <row r="365" spans="1:22" s="69" customFormat="1" ht="20.100000000000001" customHeight="1" x14ac:dyDescent="0.2">
      <c r="A365" s="154"/>
      <c r="B365" s="152"/>
      <c r="C365" s="166" t="e">
        <f>IF(A363="","",VLOOKUP(A363,liste!$A$9:$G$145,4,FALSE))</f>
        <v>#N/A</v>
      </c>
      <c r="D365" s="167"/>
      <c r="E365" s="167"/>
      <c r="F365" s="167"/>
      <c r="G365" s="167"/>
      <c r="H365" s="167"/>
      <c r="I365" s="167"/>
      <c r="J365" s="167"/>
      <c r="K365" s="141"/>
      <c r="L365" s="154"/>
      <c r="M365" s="152"/>
      <c r="N365" s="166" t="str">
        <f>IF(L363="","",VLOOKUP(L363,liste!$A$9:$G$145,4,FALSE))</f>
        <v/>
      </c>
      <c r="O365" s="167"/>
      <c r="P365" s="167"/>
      <c r="Q365" s="167"/>
      <c r="R365" s="167"/>
      <c r="S365" s="167"/>
      <c r="T365" s="167"/>
      <c r="U365" s="168"/>
      <c r="V365" s="141"/>
    </row>
    <row r="366" spans="1:22" s="69" customFormat="1" ht="15.75" x14ac:dyDescent="0.2">
      <c r="A366" s="169" t="e">
        <f>IF(A363="","",VLOOKUP(A363,liste!$A$9:$G$145,3,FALSE))</f>
        <v>#N/A</v>
      </c>
      <c r="B366" s="152"/>
      <c r="C366" s="152"/>
      <c r="D366" s="170"/>
      <c r="E366" s="170"/>
      <c r="F366" s="170"/>
      <c r="G366" s="170"/>
      <c r="H366" s="170"/>
      <c r="I366" s="171"/>
      <c r="J366" s="171"/>
      <c r="K366" s="141"/>
      <c r="L366" s="169" t="str">
        <f>IF(L363="","",VLOOKUP(L363,liste!$A$9:$G$145,3,FALSE))</f>
        <v/>
      </c>
      <c r="M366" s="152"/>
      <c r="N366" s="152"/>
      <c r="O366" s="170"/>
      <c r="P366" s="170"/>
      <c r="Q366" s="170"/>
      <c r="R366" s="170"/>
      <c r="S366" s="170"/>
      <c r="T366" s="171"/>
      <c r="U366" s="172"/>
      <c r="V366" s="141"/>
    </row>
    <row r="367" spans="1:22" s="69" customFormat="1" ht="12.75" x14ac:dyDescent="0.2">
      <c r="A367" s="141"/>
      <c r="B367" s="71"/>
      <c r="C367" s="71"/>
      <c r="D367" s="173"/>
      <c r="E367" s="173"/>
      <c r="F367" s="173"/>
      <c r="G367" s="173"/>
      <c r="H367" s="173"/>
      <c r="I367" s="174"/>
      <c r="J367" s="174"/>
      <c r="K367" s="141"/>
      <c r="L367" s="141"/>
      <c r="M367" s="71"/>
      <c r="N367" s="71"/>
      <c r="O367" s="173"/>
      <c r="P367" s="173"/>
      <c r="Q367" s="173"/>
      <c r="R367" s="173"/>
      <c r="S367" s="173"/>
      <c r="T367" s="174"/>
      <c r="U367" s="175"/>
      <c r="V367" s="141"/>
    </row>
    <row r="368" spans="1:22" s="69" customFormat="1" ht="12.75" x14ac:dyDescent="0.2">
      <c r="A368" s="141"/>
      <c r="B368" s="71"/>
      <c r="C368" s="71"/>
      <c r="D368" s="71"/>
      <c r="E368" s="71"/>
      <c r="F368" s="71"/>
      <c r="G368" s="71"/>
      <c r="H368" s="71"/>
      <c r="I368" s="71"/>
      <c r="J368" s="143"/>
      <c r="K368" s="141"/>
      <c r="L368" s="141"/>
      <c r="M368" s="71"/>
      <c r="N368" s="71"/>
      <c r="O368" s="71"/>
      <c r="P368" s="71"/>
      <c r="Q368" s="71"/>
      <c r="R368" s="71"/>
      <c r="S368" s="71"/>
      <c r="T368" s="71"/>
      <c r="U368" s="71"/>
      <c r="V368" s="141"/>
    </row>
    <row r="369" spans="1:22" s="69" customFormat="1" ht="20.100000000000001" customHeight="1" x14ac:dyDescent="0.2">
      <c r="A369" s="863" t="s">
        <v>85</v>
      </c>
      <c r="B369" s="864"/>
      <c r="C369" s="864"/>
      <c r="D369" s="178" t="s">
        <v>72</v>
      </c>
      <c r="E369" s="178" t="s">
        <v>82</v>
      </c>
      <c r="F369" s="178" t="s">
        <v>83</v>
      </c>
      <c r="G369" s="71"/>
      <c r="H369" s="71"/>
      <c r="I369" s="71"/>
      <c r="J369" s="143"/>
      <c r="K369" s="141"/>
      <c r="L369" s="863" t="s">
        <v>85</v>
      </c>
      <c r="M369" s="864"/>
      <c r="N369" s="864"/>
      <c r="O369" s="178" t="s">
        <v>72</v>
      </c>
      <c r="P369" s="178" t="s">
        <v>82</v>
      </c>
      <c r="Q369" s="178" t="s">
        <v>83</v>
      </c>
      <c r="R369" s="71"/>
      <c r="S369" s="71"/>
      <c r="T369" s="71"/>
      <c r="U369" s="71"/>
      <c r="V369" s="141"/>
    </row>
    <row r="370" spans="1:22" s="69" customFormat="1" ht="20.100000000000001" customHeight="1" x14ac:dyDescent="0.2">
      <c r="A370" s="179" t="str">
        <f>A359</f>
        <v/>
      </c>
      <c r="B370" s="180"/>
      <c r="C370" s="181"/>
      <c r="D370" s="164"/>
      <c r="E370" s="164"/>
      <c r="F370" s="164"/>
      <c r="G370" s="71"/>
      <c r="H370" s="71"/>
      <c r="I370" s="71"/>
      <c r="J370" s="143"/>
      <c r="K370" s="141"/>
      <c r="L370" s="179" t="str">
        <f>L359</f>
        <v/>
      </c>
      <c r="M370" s="180"/>
      <c r="N370" s="181"/>
      <c r="O370" s="164"/>
      <c r="P370" s="164"/>
      <c r="Q370" s="164"/>
      <c r="R370" s="71"/>
      <c r="S370" s="71"/>
      <c r="T370" s="71"/>
      <c r="U370" s="71"/>
      <c r="V370" s="141"/>
    </row>
    <row r="371" spans="1:22" s="69" customFormat="1" ht="20.100000000000001" customHeight="1" x14ac:dyDescent="0.2">
      <c r="A371" s="168"/>
      <c r="B371" s="182"/>
      <c r="C371" s="183"/>
      <c r="D371" s="167"/>
      <c r="E371" s="167"/>
      <c r="F371" s="167"/>
      <c r="G371" s="71"/>
      <c r="H371" s="71"/>
      <c r="I371" s="71"/>
      <c r="J371" s="143"/>
      <c r="K371" s="141"/>
      <c r="L371" s="168"/>
      <c r="M371" s="182"/>
      <c r="N371" s="183"/>
      <c r="O371" s="167"/>
      <c r="P371" s="167"/>
      <c r="Q371" s="167"/>
      <c r="R371" s="71"/>
      <c r="S371" s="71"/>
      <c r="T371" s="71"/>
      <c r="U371" s="71"/>
      <c r="V371" s="141"/>
    </row>
    <row r="372" spans="1:22" s="69" customFormat="1" ht="20.100000000000001" customHeight="1" x14ac:dyDescent="0.2">
      <c r="A372" s="179" t="e">
        <f>A364</f>
        <v>#N/A</v>
      </c>
      <c r="B372" s="180"/>
      <c r="C372" s="181"/>
      <c r="D372" s="164"/>
      <c r="E372" s="164"/>
      <c r="F372" s="164"/>
      <c r="G372" s="71"/>
      <c r="H372" s="71"/>
      <c r="I372" s="71"/>
      <c r="J372" s="143"/>
      <c r="K372" s="141"/>
      <c r="L372" s="179" t="str">
        <f>L364</f>
        <v/>
      </c>
      <c r="M372" s="180"/>
      <c r="N372" s="181"/>
      <c r="O372" s="164"/>
      <c r="P372" s="164"/>
      <c r="Q372" s="164"/>
      <c r="R372" s="71"/>
      <c r="S372" s="71"/>
      <c r="T372" s="71"/>
      <c r="U372" s="71"/>
      <c r="V372" s="141"/>
    </row>
    <row r="373" spans="1:22" s="69" customFormat="1" ht="20.100000000000001" customHeight="1" x14ac:dyDescent="0.2">
      <c r="A373" s="168"/>
      <c r="B373" s="182"/>
      <c r="C373" s="183"/>
      <c r="D373" s="167"/>
      <c r="E373" s="167"/>
      <c r="F373" s="167"/>
      <c r="G373" s="71"/>
      <c r="H373" s="71"/>
      <c r="I373" s="71"/>
      <c r="J373" s="143"/>
      <c r="K373" s="141"/>
      <c r="L373" s="168"/>
      <c r="M373" s="182"/>
      <c r="N373" s="183"/>
      <c r="O373" s="167"/>
      <c r="P373" s="167"/>
      <c r="Q373" s="167"/>
      <c r="R373" s="71"/>
      <c r="S373" s="71"/>
      <c r="T373" s="71"/>
      <c r="U373" s="71"/>
      <c r="V373" s="141"/>
    </row>
    <row r="374" spans="1:22" s="69" customFormat="1" ht="12.75" x14ac:dyDescent="0.2">
      <c r="A374" s="184" t="s">
        <v>86</v>
      </c>
      <c r="B374" s="71"/>
      <c r="C374" s="71"/>
      <c r="D374" s="71"/>
      <c r="E374" s="71"/>
      <c r="F374" s="71"/>
      <c r="G374" s="71"/>
      <c r="H374" s="71"/>
      <c r="I374" s="71"/>
      <c r="J374" s="143"/>
      <c r="K374" s="141"/>
      <c r="L374" s="184" t="s">
        <v>86</v>
      </c>
      <c r="M374" s="71"/>
      <c r="N374" s="71"/>
      <c r="O374" s="71"/>
      <c r="P374" s="71"/>
      <c r="Q374" s="71"/>
      <c r="R374" s="71"/>
      <c r="S374" s="71"/>
      <c r="T374" s="71"/>
      <c r="U374" s="71"/>
      <c r="V374" s="141"/>
    </row>
    <row r="375" spans="1:22" s="69" customFormat="1" ht="12.75" x14ac:dyDescent="0.2">
      <c r="A375" s="141"/>
      <c r="B375" s="71"/>
      <c r="C375" s="71"/>
      <c r="D375" s="71"/>
      <c r="E375" s="71"/>
      <c r="F375" s="71"/>
      <c r="G375" s="71"/>
      <c r="H375" s="71"/>
      <c r="I375" s="71"/>
      <c r="J375" s="143"/>
      <c r="K375" s="141"/>
      <c r="L375" s="141"/>
      <c r="M375" s="71"/>
      <c r="N375" s="71"/>
      <c r="O375" s="71"/>
      <c r="P375" s="71"/>
      <c r="Q375" s="71"/>
      <c r="R375" s="71"/>
      <c r="S375" s="71"/>
      <c r="T375" s="71"/>
      <c r="U375" s="71"/>
      <c r="V375" s="141"/>
    </row>
    <row r="376" spans="1:22" s="69" customFormat="1" ht="12.75" x14ac:dyDescent="0.2">
      <c r="A376" s="185" t="s">
        <v>84</v>
      </c>
      <c r="B376" s="182"/>
      <c r="C376" s="182"/>
      <c r="D376" s="182"/>
      <c r="E376" s="182"/>
      <c r="F376" s="182"/>
      <c r="G376" s="182"/>
      <c r="H376" s="182"/>
      <c r="I376" s="182"/>
      <c r="J376" s="183"/>
      <c r="K376" s="141"/>
      <c r="L376" s="185" t="s">
        <v>84</v>
      </c>
      <c r="M376" s="182"/>
      <c r="N376" s="182"/>
      <c r="O376" s="182"/>
      <c r="P376" s="182"/>
      <c r="Q376" s="182"/>
      <c r="R376" s="182"/>
      <c r="S376" s="182"/>
      <c r="T376" s="182"/>
      <c r="U376" s="182"/>
      <c r="V376" s="141"/>
    </row>
    <row r="377" spans="1:22" s="69" customFormat="1" ht="50.1" customHeight="1" x14ac:dyDescent="0.2">
      <c r="V377" s="71"/>
    </row>
    <row r="378" spans="1:22" s="69" customFormat="1" ht="50.1" customHeight="1" x14ac:dyDescent="0.2">
      <c r="V378" s="71"/>
    </row>
    <row r="379" spans="1:22" s="69" customFormat="1" ht="20.100000000000001" customHeight="1" x14ac:dyDescent="0.2">
      <c r="A379" s="877" t="str">
        <f>$A$1</f>
        <v>Circuit Décathlon</v>
      </c>
      <c r="B379" s="878"/>
      <c r="C379" s="878"/>
      <c r="D379" s="878"/>
      <c r="E379" s="878"/>
      <c r="F379" s="878"/>
      <c r="G379" s="878"/>
      <c r="H379" s="878"/>
      <c r="I379" s="878"/>
      <c r="J379" s="879"/>
      <c r="K379" s="141"/>
      <c r="L379" s="877" t="str">
        <f>$A$1</f>
        <v>Circuit Décathlon</v>
      </c>
      <c r="M379" s="878"/>
      <c r="N379" s="878"/>
      <c r="O379" s="878"/>
      <c r="P379" s="878"/>
      <c r="Q379" s="878"/>
      <c r="R379" s="878"/>
      <c r="S379" s="878"/>
      <c r="T379" s="878"/>
      <c r="U379" s="879"/>
      <c r="V379" s="141"/>
    </row>
    <row r="380" spans="1:22" s="69" customFormat="1" ht="15.75" x14ac:dyDescent="0.2">
      <c r="A380" s="141"/>
      <c r="B380" s="71"/>
      <c r="C380" s="71"/>
      <c r="D380" s="142" t="s">
        <v>78</v>
      </c>
      <c r="E380" s="191">
        <f>Rens!F38</f>
        <v>0</v>
      </c>
      <c r="F380" s="71"/>
      <c r="G380" s="71"/>
      <c r="H380" s="71"/>
      <c r="I380" s="71"/>
      <c r="J380" s="143"/>
      <c r="K380" s="141"/>
      <c r="L380" s="141"/>
      <c r="M380" s="71"/>
      <c r="N380" s="71"/>
      <c r="O380" s="142" t="s">
        <v>78</v>
      </c>
      <c r="P380" s="191">
        <f>Rens!F39</f>
        <v>0</v>
      </c>
      <c r="Q380" s="71"/>
      <c r="R380" s="71"/>
      <c r="S380" s="71"/>
      <c r="T380" s="71"/>
      <c r="U380" s="71"/>
      <c r="V380" s="141"/>
    </row>
    <row r="381" spans="1:22" s="69" customFormat="1" ht="18.75" x14ac:dyDescent="0.2">
      <c r="A381" s="144" t="s">
        <v>79</v>
      </c>
      <c r="B381" s="145" t="str">
        <f>$B$3</f>
        <v>FEM</v>
      </c>
      <c r="C381" s="71"/>
      <c r="D381" s="71"/>
      <c r="E381" s="71"/>
      <c r="F381" s="71"/>
      <c r="G381" s="71"/>
      <c r="H381" s="71"/>
      <c r="I381" s="71"/>
      <c r="J381" s="143"/>
      <c r="K381" s="141"/>
      <c r="L381" s="144" t="s">
        <v>79</v>
      </c>
      <c r="M381" s="145" t="str">
        <f>$B$3</f>
        <v>FEM</v>
      </c>
      <c r="N381" s="71"/>
      <c r="O381" s="71"/>
      <c r="P381" s="71"/>
      <c r="Q381" s="71"/>
      <c r="R381" s="71"/>
      <c r="S381" s="71"/>
      <c r="T381" s="71"/>
      <c r="U381" s="71"/>
      <c r="V381" s="141"/>
    </row>
    <row r="382" spans="1:22" s="69" customFormat="1" ht="18.75" x14ac:dyDescent="0.2">
      <c r="A382" s="875" t="s">
        <v>130</v>
      </c>
      <c r="B382" s="876"/>
      <c r="C382" s="876"/>
      <c r="D382" s="876"/>
      <c r="E382" s="71"/>
      <c r="F382" s="71"/>
      <c r="G382" s="72"/>
      <c r="H382" s="71"/>
      <c r="I382" s="71"/>
      <c r="J382" s="143"/>
      <c r="K382" s="141"/>
      <c r="L382" s="875" t="s">
        <v>131</v>
      </c>
      <c r="M382" s="876"/>
      <c r="N382" s="876"/>
      <c r="O382" s="876"/>
      <c r="P382" s="71"/>
      <c r="Q382" s="71"/>
      <c r="R382" s="72"/>
      <c r="S382" s="71"/>
      <c r="T382" s="71"/>
      <c r="U382" s="71"/>
      <c r="V382" s="141"/>
    </row>
    <row r="383" spans="1:22" s="155" customFormat="1" ht="18.75" x14ac:dyDescent="0.2">
      <c r="A383" s="154"/>
      <c r="B383" s="187" t="str">
        <f>Tableau!J18</f>
        <v/>
      </c>
      <c r="C383" s="152"/>
      <c r="D383" s="152"/>
      <c r="E383" s="73" t="s">
        <v>142</v>
      </c>
      <c r="F383" s="72">
        <f>Rens!G38</f>
        <v>0</v>
      </c>
      <c r="G383" s="152"/>
      <c r="H383" s="152"/>
      <c r="I383" s="152"/>
      <c r="J383" s="153"/>
      <c r="K383" s="154"/>
      <c r="L383" s="154"/>
      <c r="M383" s="187" t="str">
        <f>Tableau!J10</f>
        <v/>
      </c>
      <c r="N383" s="152"/>
      <c r="O383" s="152"/>
      <c r="P383" s="73" t="s">
        <v>142</v>
      </c>
      <c r="Q383" s="72">
        <f>Rens!G39</f>
        <v>0</v>
      </c>
      <c r="R383" s="152"/>
      <c r="S383" s="152"/>
      <c r="T383" s="152"/>
      <c r="U383" s="152"/>
      <c r="V383" s="154"/>
    </row>
    <row r="384" spans="1:22" s="69" customFormat="1" ht="15.75" x14ac:dyDescent="0.2">
      <c r="A384" s="192" t="s">
        <v>80</v>
      </c>
      <c r="B384" s="150" t="str">
        <f>IF(B383="","",VLOOKUP(B383,liste!$A$9:$G$145,2,FALSE))</f>
        <v/>
      </c>
      <c r="C384" s="193"/>
      <c r="D384" s="193"/>
      <c r="E384" s="193"/>
      <c r="F384" s="193"/>
      <c r="G384" s="193"/>
      <c r="H384" s="193"/>
      <c r="I384" s="71"/>
      <c r="J384" s="143"/>
      <c r="K384" s="141"/>
      <c r="L384" s="192" t="s">
        <v>80</v>
      </c>
      <c r="M384" s="150" t="str">
        <f>IF(M383="","",VLOOKUP(M383,liste!$A$9:$G$145,2,FALSE))</f>
        <v/>
      </c>
      <c r="N384" s="193"/>
      <c r="O384" s="193"/>
      <c r="P384" s="193"/>
      <c r="Q384" s="193"/>
      <c r="R384" s="193"/>
      <c r="S384" s="193"/>
      <c r="T384" s="71"/>
      <c r="U384" s="71"/>
      <c r="V384" s="141"/>
    </row>
    <row r="385" spans="1:22" s="69" customFormat="1" ht="20.100000000000001" customHeight="1" x14ac:dyDescent="0.2">
      <c r="A385" s="141"/>
      <c r="D385" s="865" t="s">
        <v>19</v>
      </c>
      <c r="E385" s="866"/>
      <c r="F385" s="866"/>
      <c r="G385" s="866"/>
      <c r="H385" s="866"/>
      <c r="I385" s="866"/>
      <c r="J385" s="867"/>
      <c r="K385" s="141"/>
      <c r="L385" s="156"/>
      <c r="M385" s="157"/>
      <c r="N385" s="157"/>
      <c r="O385" s="865" t="s">
        <v>19</v>
      </c>
      <c r="P385" s="866"/>
      <c r="Q385" s="866"/>
      <c r="R385" s="866"/>
      <c r="S385" s="866"/>
      <c r="T385" s="866"/>
      <c r="U385" s="867"/>
      <c r="V385" s="141"/>
    </row>
    <row r="386" spans="1:22" s="69" customFormat="1" ht="20.100000000000001" customHeight="1" x14ac:dyDescent="0.2">
      <c r="A386" s="868" t="s">
        <v>81</v>
      </c>
      <c r="B386" s="869"/>
      <c r="C386" s="869"/>
      <c r="D386" s="158">
        <v>1</v>
      </c>
      <c r="E386" s="158">
        <v>2</v>
      </c>
      <c r="F386" s="158">
        <v>3</v>
      </c>
      <c r="G386" s="158">
        <v>4</v>
      </c>
      <c r="H386" s="158">
        <v>5</v>
      </c>
      <c r="I386" s="158">
        <v>6</v>
      </c>
      <c r="J386" s="158">
        <v>7</v>
      </c>
      <c r="K386" s="141"/>
      <c r="L386" s="868" t="s">
        <v>81</v>
      </c>
      <c r="M386" s="869"/>
      <c r="N386" s="869"/>
      <c r="O386" s="158">
        <v>1</v>
      </c>
      <c r="P386" s="158">
        <v>2</v>
      </c>
      <c r="Q386" s="158">
        <v>3</v>
      </c>
      <c r="R386" s="158">
        <v>4</v>
      </c>
      <c r="S386" s="158">
        <v>5</v>
      </c>
      <c r="T386" s="158">
        <v>6</v>
      </c>
      <c r="U386" s="159">
        <v>7</v>
      </c>
      <c r="V386" s="141"/>
    </row>
    <row r="387" spans="1:22" s="69" customFormat="1" ht="20.100000000000001" customHeight="1" x14ac:dyDescent="0.2">
      <c r="A387" s="160"/>
      <c r="B387" s="161"/>
      <c r="C387" s="161"/>
      <c r="D387" s="870" t="s">
        <v>87</v>
      </c>
      <c r="E387" s="871"/>
      <c r="F387" s="871"/>
      <c r="G387" s="871"/>
      <c r="H387" s="871"/>
      <c r="I387" s="871"/>
      <c r="J387" s="872"/>
      <c r="K387" s="141"/>
      <c r="L387" s="160"/>
      <c r="M387" s="161"/>
      <c r="N387" s="161"/>
      <c r="O387" s="870" t="s">
        <v>87</v>
      </c>
      <c r="P387" s="871"/>
      <c r="Q387" s="871"/>
      <c r="R387" s="871"/>
      <c r="S387" s="871"/>
      <c r="T387" s="871"/>
      <c r="U387" s="872"/>
      <c r="V387" s="141"/>
    </row>
    <row r="388" spans="1:22" s="69" customFormat="1" ht="18.75" x14ac:dyDescent="0.2">
      <c r="A388" s="162">
        <f>Tableau!X34</f>
        <v>0</v>
      </c>
      <c r="C388" s="71"/>
      <c r="D388" s="164"/>
      <c r="E388" s="164"/>
      <c r="F388" s="164"/>
      <c r="G388" s="164"/>
      <c r="H388" s="164"/>
      <c r="I388" s="164"/>
      <c r="J388" s="164"/>
      <c r="K388" s="141"/>
      <c r="L388" s="162" t="str">
        <f>Tableau!X41</f>
        <v/>
      </c>
      <c r="N388" s="71"/>
      <c r="O388" s="164"/>
      <c r="P388" s="164"/>
      <c r="Q388" s="164"/>
      <c r="R388" s="164"/>
      <c r="S388" s="164"/>
      <c r="T388" s="164"/>
      <c r="U388" s="165"/>
      <c r="V388" s="141"/>
    </row>
    <row r="389" spans="1:22" s="69" customFormat="1" ht="20.100000000000001" customHeight="1" x14ac:dyDescent="0.2">
      <c r="A389" s="873" t="e">
        <f>IF(A388="","",VLOOKUP(A388,liste!$A$9:$G$145,2,FALSE))</f>
        <v>#N/A</v>
      </c>
      <c r="B389" s="874" t="e">
        <v>#N/A</v>
      </c>
      <c r="C389" s="874" t="e">
        <v>#N/A</v>
      </c>
      <c r="D389" s="163"/>
      <c r="E389" s="163"/>
      <c r="F389" s="163"/>
      <c r="G389" s="163"/>
      <c r="H389" s="163"/>
      <c r="I389" s="163"/>
      <c r="J389" s="163"/>
      <c r="K389" s="141"/>
      <c r="L389" s="873" t="str">
        <f>IF(L388="","",VLOOKUP(L388,liste!$A$9:$G$145,2,FALSE))</f>
        <v/>
      </c>
      <c r="M389" s="874" t="e">
        <v>#N/A</v>
      </c>
      <c r="N389" s="874" t="e">
        <v>#N/A</v>
      </c>
      <c r="O389" s="163"/>
      <c r="P389" s="163"/>
      <c r="Q389" s="163"/>
      <c r="R389" s="163"/>
      <c r="S389" s="163"/>
      <c r="T389" s="163"/>
      <c r="U389" s="141"/>
      <c r="V389" s="141"/>
    </row>
    <row r="390" spans="1:22" s="69" customFormat="1" ht="20.100000000000001" customHeight="1" x14ac:dyDescent="0.2">
      <c r="A390" s="154"/>
      <c r="B390" s="152"/>
      <c r="C390" s="166" t="e">
        <f>IF(A388="","",VLOOKUP(A388,liste!$A$9:$G$145,4,FALSE))</f>
        <v>#N/A</v>
      </c>
      <c r="D390" s="167"/>
      <c r="E390" s="167"/>
      <c r="F390" s="167"/>
      <c r="G390" s="167"/>
      <c r="H390" s="167"/>
      <c r="I390" s="167"/>
      <c r="J390" s="167"/>
      <c r="K390" s="141"/>
      <c r="L390" s="154"/>
      <c r="M390" s="152"/>
      <c r="N390" s="166" t="str">
        <f>IF(L388="","",VLOOKUP(L388,liste!$A$9:$G$145,4,FALSE))</f>
        <v/>
      </c>
      <c r="O390" s="167"/>
      <c r="P390" s="167"/>
      <c r="Q390" s="167"/>
      <c r="R390" s="167"/>
      <c r="S390" s="167"/>
      <c r="T390" s="167"/>
      <c r="U390" s="168"/>
      <c r="V390" s="141"/>
    </row>
    <row r="391" spans="1:22" s="69" customFormat="1" ht="15.75" x14ac:dyDescent="0.2">
      <c r="A391" s="188" t="e">
        <f>IF(A388="","",VLOOKUP(A388,liste!$A$9:$G$145,3,FALSE))</f>
        <v>#N/A</v>
      </c>
      <c r="B391" s="152"/>
      <c r="C391" s="152"/>
      <c r="D391" s="170"/>
      <c r="E391" s="170"/>
      <c r="F391" s="170"/>
      <c r="G391" s="170"/>
      <c r="H391" s="170"/>
      <c r="I391" s="171"/>
      <c r="J391" s="171"/>
      <c r="K391" s="141"/>
      <c r="L391" s="188" t="str">
        <f>IF(L388="","",VLOOKUP(L388,liste!$A$9:$G$145,3,FALSE))</f>
        <v/>
      </c>
      <c r="M391" s="152"/>
      <c r="N391" s="152"/>
      <c r="O391" s="170"/>
      <c r="P391" s="170"/>
      <c r="Q391" s="170"/>
      <c r="R391" s="170"/>
      <c r="S391" s="170"/>
      <c r="T391" s="171"/>
      <c r="U391" s="172"/>
      <c r="V391" s="141"/>
    </row>
    <row r="392" spans="1:22" s="69" customFormat="1" ht="12.75" x14ac:dyDescent="0.2">
      <c r="A392" s="141"/>
      <c r="B392" s="70" t="s">
        <v>9</v>
      </c>
      <c r="C392" s="71"/>
      <c r="D392" s="173"/>
      <c r="E392" s="173"/>
      <c r="F392" s="173"/>
      <c r="G392" s="173"/>
      <c r="H392" s="173"/>
      <c r="I392" s="174"/>
      <c r="J392" s="174"/>
      <c r="K392" s="141"/>
      <c r="L392" s="141"/>
      <c r="M392" s="70" t="s">
        <v>9</v>
      </c>
      <c r="N392" s="71"/>
      <c r="O392" s="173"/>
      <c r="P392" s="173"/>
      <c r="Q392" s="173"/>
      <c r="R392" s="173"/>
      <c r="S392" s="173"/>
      <c r="T392" s="174"/>
      <c r="U392" s="175"/>
      <c r="V392" s="141"/>
    </row>
    <row r="393" spans="1:22" s="69" customFormat="1" ht="18.75" x14ac:dyDescent="0.2">
      <c r="A393" s="162" t="str">
        <f>IF(Tableau!X38="","",Tableau!X38)</f>
        <v/>
      </c>
      <c r="B393" s="189"/>
      <c r="C393" s="71"/>
      <c r="D393" s="164"/>
      <c r="E393" s="164"/>
      <c r="F393" s="164"/>
      <c r="G393" s="164"/>
      <c r="H393" s="164"/>
      <c r="I393" s="164"/>
      <c r="J393" s="164"/>
      <c r="K393" s="141"/>
      <c r="L393" s="162" t="str">
        <f>Tableau!X43</f>
        <v/>
      </c>
      <c r="N393" s="71"/>
      <c r="O393" s="164"/>
      <c r="P393" s="164"/>
      <c r="Q393" s="164"/>
      <c r="R393" s="164"/>
      <c r="S393" s="164"/>
      <c r="T393" s="164"/>
      <c r="U393" s="165"/>
      <c r="V393" s="141"/>
    </row>
    <row r="394" spans="1:22" s="69" customFormat="1" ht="20.100000000000001" customHeight="1" x14ac:dyDescent="0.2">
      <c r="A394" s="873" t="str">
        <f>IF(A393="","",VLOOKUP(A393,liste!$A$9:$G$145,2,FALSE))</f>
        <v/>
      </c>
      <c r="B394" s="874" t="e">
        <v>#N/A</v>
      </c>
      <c r="C394" s="874" t="e">
        <v>#N/A</v>
      </c>
      <c r="D394" s="163"/>
      <c r="E394" s="163"/>
      <c r="F394" s="163"/>
      <c r="G394" s="163"/>
      <c r="H394" s="163"/>
      <c r="I394" s="163"/>
      <c r="J394" s="163"/>
      <c r="K394" s="141"/>
      <c r="L394" s="873" t="str">
        <f>IF(L393="","",VLOOKUP(L393,liste!$A$9:$G$145,2,FALSE))</f>
        <v/>
      </c>
      <c r="M394" s="874" t="e">
        <v>#N/A</v>
      </c>
      <c r="N394" s="874" t="e">
        <v>#N/A</v>
      </c>
      <c r="O394" s="163"/>
      <c r="P394" s="163"/>
      <c r="Q394" s="163"/>
      <c r="R394" s="163"/>
      <c r="S394" s="163"/>
      <c r="T394" s="163"/>
      <c r="U394" s="141"/>
      <c r="V394" s="141"/>
    </row>
    <row r="395" spans="1:22" s="69" customFormat="1" ht="20.100000000000001" customHeight="1" x14ac:dyDescent="0.2">
      <c r="A395" s="154"/>
      <c r="B395" s="152"/>
      <c r="C395" s="166" t="str">
        <f>IF(A393="","",VLOOKUP(A393,liste!$A$9:$G$145,4,FALSE))</f>
        <v/>
      </c>
      <c r="D395" s="167"/>
      <c r="E395" s="167"/>
      <c r="F395" s="167"/>
      <c r="G395" s="167"/>
      <c r="H395" s="167"/>
      <c r="I395" s="167"/>
      <c r="J395" s="167"/>
      <c r="K395" s="141"/>
      <c r="L395" s="154"/>
      <c r="M395" s="152"/>
      <c r="N395" s="166" t="str">
        <f>IF(L393="","",VLOOKUP(L393,liste!$A$9:$G$145,4,FALSE))</f>
        <v/>
      </c>
      <c r="O395" s="167"/>
      <c r="P395" s="167"/>
      <c r="Q395" s="167"/>
      <c r="R395" s="167"/>
      <c r="S395" s="167"/>
      <c r="T395" s="167"/>
      <c r="U395" s="168"/>
      <c r="V395" s="141"/>
    </row>
    <row r="396" spans="1:22" s="69" customFormat="1" ht="15.75" x14ac:dyDescent="0.2">
      <c r="A396" s="190" t="str">
        <f>IF(A393="","",VLOOKUP(A393,liste!$A$9:$G$145,3,FALSE))</f>
        <v/>
      </c>
      <c r="B396" s="152"/>
      <c r="C396" s="152"/>
      <c r="D396" s="170"/>
      <c r="E396" s="170"/>
      <c r="F396" s="170"/>
      <c r="G396" s="170"/>
      <c r="H396" s="170"/>
      <c r="I396" s="171"/>
      <c r="J396" s="171"/>
      <c r="K396" s="141"/>
      <c r="L396" s="188" t="str">
        <f>IF(L393="","",VLOOKUP(L393,liste!$A$9:$G$145,3,FALSE))</f>
        <v/>
      </c>
      <c r="M396" s="152"/>
      <c r="N396" s="152"/>
      <c r="O396" s="170"/>
      <c r="P396" s="170"/>
      <c r="Q396" s="170"/>
      <c r="R396" s="170"/>
      <c r="S396" s="170"/>
      <c r="T396" s="171"/>
      <c r="U396" s="172"/>
      <c r="V396" s="141"/>
    </row>
    <row r="397" spans="1:22" s="69" customFormat="1" ht="12.75" x14ac:dyDescent="0.2">
      <c r="A397" s="141"/>
      <c r="B397" s="71"/>
      <c r="C397" s="71"/>
      <c r="D397" s="173"/>
      <c r="E397" s="173"/>
      <c r="F397" s="173"/>
      <c r="G397" s="173"/>
      <c r="H397" s="173"/>
      <c r="I397" s="174"/>
      <c r="J397" s="174"/>
      <c r="K397" s="141"/>
      <c r="L397" s="141"/>
      <c r="M397" s="71"/>
      <c r="N397" s="71"/>
      <c r="O397" s="173"/>
      <c r="P397" s="173"/>
      <c r="Q397" s="173"/>
      <c r="R397" s="173"/>
      <c r="S397" s="173"/>
      <c r="T397" s="174"/>
      <c r="U397" s="175"/>
      <c r="V397" s="141"/>
    </row>
    <row r="398" spans="1:22" s="69" customFormat="1" ht="12.75" x14ac:dyDescent="0.2">
      <c r="A398" s="141"/>
      <c r="B398" s="71"/>
      <c r="C398" s="71"/>
      <c r="D398" s="71"/>
      <c r="E398" s="71"/>
      <c r="F398" s="71"/>
      <c r="G398" s="71"/>
      <c r="H398" s="71"/>
      <c r="I398" s="71"/>
      <c r="J398" s="143"/>
      <c r="K398" s="141"/>
      <c r="L398" s="141"/>
      <c r="M398" s="71"/>
      <c r="N398" s="71"/>
      <c r="O398" s="71"/>
      <c r="P398" s="71"/>
      <c r="Q398" s="71"/>
      <c r="R398" s="71"/>
      <c r="S398" s="71"/>
      <c r="T398" s="71"/>
      <c r="U398" s="71"/>
      <c r="V398" s="141"/>
    </row>
    <row r="399" spans="1:22" s="69" customFormat="1" ht="20.100000000000001" customHeight="1" x14ac:dyDescent="0.2">
      <c r="A399" s="863" t="s">
        <v>85</v>
      </c>
      <c r="B399" s="864"/>
      <c r="C399" s="864"/>
      <c r="D399" s="178" t="s">
        <v>72</v>
      </c>
      <c r="E399" s="178" t="s">
        <v>82</v>
      </c>
      <c r="F399" s="178" t="s">
        <v>83</v>
      </c>
      <c r="G399" s="71"/>
      <c r="H399" s="71"/>
      <c r="I399" s="71"/>
      <c r="J399" s="143"/>
      <c r="K399" s="141"/>
      <c r="L399" s="863" t="s">
        <v>85</v>
      </c>
      <c r="M399" s="864"/>
      <c r="N399" s="864"/>
      <c r="O399" s="178" t="s">
        <v>72</v>
      </c>
      <c r="P399" s="178" t="s">
        <v>82</v>
      </c>
      <c r="Q399" s="178" t="s">
        <v>83</v>
      </c>
      <c r="R399" s="71"/>
      <c r="S399" s="71"/>
      <c r="T399" s="71"/>
      <c r="U399" s="71"/>
      <c r="V399" s="141"/>
    </row>
    <row r="400" spans="1:22" s="69" customFormat="1" ht="20.100000000000001" customHeight="1" x14ac:dyDescent="0.2">
      <c r="A400" s="179" t="e">
        <f>A389</f>
        <v>#N/A</v>
      </c>
      <c r="B400" s="180"/>
      <c r="C400" s="181"/>
      <c r="D400" s="164"/>
      <c r="E400" s="164"/>
      <c r="F400" s="164"/>
      <c r="G400" s="71"/>
      <c r="H400" s="71"/>
      <c r="I400" s="71"/>
      <c r="J400" s="143"/>
      <c r="K400" s="141"/>
      <c r="L400" s="179" t="str">
        <f>L389</f>
        <v/>
      </c>
      <c r="M400" s="180"/>
      <c r="N400" s="181"/>
      <c r="O400" s="164"/>
      <c r="P400" s="164"/>
      <c r="Q400" s="164"/>
      <c r="R400" s="71"/>
      <c r="S400" s="71"/>
      <c r="T400" s="71"/>
      <c r="U400" s="71"/>
      <c r="V400" s="141"/>
    </row>
    <row r="401" spans="1:22" s="69" customFormat="1" ht="20.100000000000001" customHeight="1" x14ac:dyDescent="0.2">
      <c r="A401" s="168"/>
      <c r="B401" s="182"/>
      <c r="C401" s="183"/>
      <c r="D401" s="167"/>
      <c r="E401" s="167"/>
      <c r="F401" s="167"/>
      <c r="G401" s="71"/>
      <c r="H401" s="71"/>
      <c r="I401" s="71"/>
      <c r="J401" s="143"/>
      <c r="K401" s="141"/>
      <c r="L401" s="168"/>
      <c r="M401" s="182"/>
      <c r="N401" s="183"/>
      <c r="O401" s="167"/>
      <c r="P401" s="167"/>
      <c r="Q401" s="167"/>
      <c r="R401" s="71"/>
      <c r="S401" s="71"/>
      <c r="T401" s="71"/>
      <c r="U401" s="71"/>
      <c r="V401" s="141"/>
    </row>
    <row r="402" spans="1:22" s="69" customFormat="1" ht="20.100000000000001" customHeight="1" x14ac:dyDescent="0.2">
      <c r="A402" s="179" t="str">
        <f>A394</f>
        <v/>
      </c>
      <c r="B402" s="180"/>
      <c r="C402" s="181"/>
      <c r="D402" s="164"/>
      <c r="E402" s="164"/>
      <c r="F402" s="164"/>
      <c r="G402" s="71"/>
      <c r="H402" s="71"/>
      <c r="I402" s="71"/>
      <c r="J402" s="143"/>
      <c r="K402" s="141"/>
      <c r="L402" s="179" t="str">
        <f>L394</f>
        <v/>
      </c>
      <c r="M402" s="180"/>
      <c r="N402" s="181"/>
      <c r="O402" s="164"/>
      <c r="P402" s="164"/>
      <c r="Q402" s="164"/>
      <c r="R402" s="71"/>
      <c r="S402" s="71"/>
      <c r="T402" s="71"/>
      <c r="U402" s="71"/>
      <c r="V402" s="141"/>
    </row>
    <row r="403" spans="1:22" s="69" customFormat="1" ht="20.100000000000001" customHeight="1" x14ac:dyDescent="0.2">
      <c r="A403" s="168"/>
      <c r="B403" s="182"/>
      <c r="C403" s="183"/>
      <c r="D403" s="167"/>
      <c r="E403" s="167"/>
      <c r="F403" s="167"/>
      <c r="G403" s="71"/>
      <c r="H403" s="71"/>
      <c r="I403" s="71"/>
      <c r="J403" s="143"/>
      <c r="K403" s="141"/>
      <c r="L403" s="168"/>
      <c r="M403" s="182"/>
      <c r="N403" s="183"/>
      <c r="O403" s="167"/>
      <c r="P403" s="167"/>
      <c r="Q403" s="167"/>
      <c r="R403" s="71"/>
      <c r="S403" s="71"/>
      <c r="T403" s="71"/>
      <c r="U403" s="71"/>
      <c r="V403" s="141"/>
    </row>
    <row r="404" spans="1:22" s="69" customFormat="1" ht="12.75" x14ac:dyDescent="0.2">
      <c r="A404" s="184" t="s">
        <v>86</v>
      </c>
      <c r="B404" s="71"/>
      <c r="C404" s="71"/>
      <c r="D404" s="71"/>
      <c r="E404" s="71"/>
      <c r="F404" s="71"/>
      <c r="G404" s="71"/>
      <c r="H404" s="71"/>
      <c r="I404" s="71"/>
      <c r="J404" s="143"/>
      <c r="K404" s="141"/>
      <c r="L404" s="184" t="s">
        <v>86</v>
      </c>
      <c r="M404" s="71"/>
      <c r="N404" s="71"/>
      <c r="O404" s="71"/>
      <c r="P404" s="71"/>
      <c r="Q404" s="71"/>
      <c r="R404" s="71"/>
      <c r="S404" s="71"/>
      <c r="T404" s="71"/>
      <c r="U404" s="71"/>
      <c r="V404" s="141"/>
    </row>
    <row r="405" spans="1:22" s="69" customFormat="1" ht="12.75" x14ac:dyDescent="0.2">
      <c r="A405" s="141"/>
      <c r="B405" s="71"/>
      <c r="C405" s="71"/>
      <c r="D405" s="71"/>
      <c r="E405" s="71"/>
      <c r="F405" s="71"/>
      <c r="G405" s="71"/>
      <c r="H405" s="71"/>
      <c r="I405" s="71"/>
      <c r="J405" s="143"/>
      <c r="K405" s="141"/>
      <c r="L405" s="141"/>
      <c r="M405" s="71"/>
      <c r="N405" s="71"/>
      <c r="O405" s="71"/>
      <c r="P405" s="71"/>
      <c r="Q405" s="71"/>
      <c r="R405" s="71"/>
      <c r="S405" s="71"/>
      <c r="T405" s="71"/>
      <c r="U405" s="71"/>
      <c r="V405" s="141"/>
    </row>
    <row r="406" spans="1:22" s="69" customFormat="1" ht="12.75" x14ac:dyDescent="0.2">
      <c r="A406" s="185" t="s">
        <v>84</v>
      </c>
      <c r="B406" s="182"/>
      <c r="C406" s="182"/>
      <c r="D406" s="182"/>
      <c r="E406" s="182"/>
      <c r="F406" s="182"/>
      <c r="G406" s="182"/>
      <c r="H406" s="182"/>
      <c r="I406" s="182"/>
      <c r="J406" s="183"/>
      <c r="K406" s="141"/>
      <c r="L406" s="185" t="s">
        <v>84</v>
      </c>
      <c r="M406" s="182"/>
      <c r="N406" s="182"/>
      <c r="O406" s="182"/>
      <c r="P406" s="182"/>
      <c r="Q406" s="182"/>
      <c r="R406" s="182"/>
      <c r="S406" s="182"/>
      <c r="T406" s="182"/>
      <c r="U406" s="182"/>
      <c r="V406" s="141"/>
    </row>
  </sheetData>
  <mergeCells count="228">
    <mergeCell ref="A167:C167"/>
    <mergeCell ref="L167:N167"/>
    <mergeCell ref="A147:J147"/>
    <mergeCell ref="L147:U147"/>
    <mergeCell ref="A150:D150"/>
    <mergeCell ref="L150:O150"/>
    <mergeCell ref="D153:J153"/>
    <mergeCell ref="O153:U153"/>
    <mergeCell ref="A154:C154"/>
    <mergeCell ref="L154:N154"/>
    <mergeCell ref="D155:J155"/>
    <mergeCell ref="O155:U155"/>
    <mergeCell ref="A157:C157"/>
    <mergeCell ref="L157:N157"/>
    <mergeCell ref="A162:C162"/>
    <mergeCell ref="L162:N162"/>
    <mergeCell ref="A137:C137"/>
    <mergeCell ref="L137:N137"/>
    <mergeCell ref="A117:J117"/>
    <mergeCell ref="L117:U117"/>
    <mergeCell ref="A120:D120"/>
    <mergeCell ref="L120:O120"/>
    <mergeCell ref="D123:J123"/>
    <mergeCell ref="O123:U123"/>
    <mergeCell ref="A124:C124"/>
    <mergeCell ref="L124:N124"/>
    <mergeCell ref="D125:J125"/>
    <mergeCell ref="O125:U125"/>
    <mergeCell ref="A127:C127"/>
    <mergeCell ref="L127:N127"/>
    <mergeCell ref="A132:C132"/>
    <mergeCell ref="L132:N132"/>
    <mergeCell ref="A109:C109"/>
    <mergeCell ref="L109:N109"/>
    <mergeCell ref="A89:J89"/>
    <mergeCell ref="L89:U89"/>
    <mergeCell ref="A92:D92"/>
    <mergeCell ref="L92:O92"/>
    <mergeCell ref="D95:J95"/>
    <mergeCell ref="O95:U95"/>
    <mergeCell ref="A96:C96"/>
    <mergeCell ref="L96:N96"/>
    <mergeCell ref="D97:J97"/>
    <mergeCell ref="O97:U97"/>
    <mergeCell ref="A99:C99"/>
    <mergeCell ref="L99:N99"/>
    <mergeCell ref="A104:C104"/>
    <mergeCell ref="L104:N104"/>
    <mergeCell ref="A79:C79"/>
    <mergeCell ref="L79:N79"/>
    <mergeCell ref="A59:J59"/>
    <mergeCell ref="L59:U59"/>
    <mergeCell ref="A62:D62"/>
    <mergeCell ref="L62:O62"/>
    <mergeCell ref="D65:J65"/>
    <mergeCell ref="O65:U65"/>
    <mergeCell ref="A66:C66"/>
    <mergeCell ref="L66:N66"/>
    <mergeCell ref="D67:J67"/>
    <mergeCell ref="O67:U67"/>
    <mergeCell ref="A69:C69"/>
    <mergeCell ref="L69:N69"/>
    <mergeCell ref="A74:C74"/>
    <mergeCell ref="L74:N74"/>
    <mergeCell ref="O9:U9"/>
    <mergeCell ref="A175:J175"/>
    <mergeCell ref="L175:U175"/>
    <mergeCell ref="A11:C11"/>
    <mergeCell ref="A21:C21"/>
    <mergeCell ref="D9:J9"/>
    <mergeCell ref="A16:C16"/>
    <mergeCell ref="L1:U1"/>
    <mergeCell ref="L4:O4"/>
    <mergeCell ref="O7:U7"/>
    <mergeCell ref="L8:N8"/>
    <mergeCell ref="P2:Q2"/>
    <mergeCell ref="D7:J7"/>
    <mergeCell ref="A1:J1"/>
    <mergeCell ref="A4:D4"/>
    <mergeCell ref="A8:C8"/>
    <mergeCell ref="E2:F2"/>
    <mergeCell ref="L41:N41"/>
    <mergeCell ref="L31:U31"/>
    <mergeCell ref="A34:D34"/>
    <mergeCell ref="A38:C38"/>
    <mergeCell ref="L38:N38"/>
    <mergeCell ref="E32:F32"/>
    <mergeCell ref="P32:Q32"/>
    <mergeCell ref="L11:N11"/>
    <mergeCell ref="L16:N16"/>
    <mergeCell ref="L21:N21"/>
    <mergeCell ref="A46:C46"/>
    <mergeCell ref="L46:N46"/>
    <mergeCell ref="A51:C51"/>
    <mergeCell ref="L51:N51"/>
    <mergeCell ref="A41:C41"/>
    <mergeCell ref="O39:U39"/>
    <mergeCell ref="D37:J37"/>
    <mergeCell ref="O37:U37"/>
    <mergeCell ref="A31:J31"/>
    <mergeCell ref="D39:J39"/>
    <mergeCell ref="L34:O34"/>
    <mergeCell ref="A178:D178"/>
    <mergeCell ref="L178:O178"/>
    <mergeCell ref="D181:J181"/>
    <mergeCell ref="O181:U181"/>
    <mergeCell ref="A208:D208"/>
    <mergeCell ref="L208:O208"/>
    <mergeCell ref="D183:J183"/>
    <mergeCell ref="O183:U183"/>
    <mergeCell ref="A185:C185"/>
    <mergeCell ref="L185:N185"/>
    <mergeCell ref="A182:C182"/>
    <mergeCell ref="L182:N182"/>
    <mergeCell ref="D211:J211"/>
    <mergeCell ref="O211:U211"/>
    <mergeCell ref="A212:C212"/>
    <mergeCell ref="L212:N212"/>
    <mergeCell ref="D213:J213"/>
    <mergeCell ref="O213:U213"/>
    <mergeCell ref="A215:C215"/>
    <mergeCell ref="L215:N215"/>
    <mergeCell ref="A190:C190"/>
    <mergeCell ref="L190:N190"/>
    <mergeCell ref="A195:C195"/>
    <mergeCell ref="L195:N195"/>
    <mergeCell ref="A205:J205"/>
    <mergeCell ref="L205:U205"/>
    <mergeCell ref="A248:C248"/>
    <mergeCell ref="L248:N248"/>
    <mergeCell ref="A253:C253"/>
    <mergeCell ref="L253:N253"/>
    <mergeCell ref="D271:J271"/>
    <mergeCell ref="O271:U271"/>
    <mergeCell ref="A273:C273"/>
    <mergeCell ref="L273:N273"/>
    <mergeCell ref="A220:C220"/>
    <mergeCell ref="L220:N220"/>
    <mergeCell ref="A243:C243"/>
    <mergeCell ref="L243:N243"/>
    <mergeCell ref="A233:J233"/>
    <mergeCell ref="L233:U233"/>
    <mergeCell ref="A236:D236"/>
    <mergeCell ref="L236:O236"/>
    <mergeCell ref="D239:J239"/>
    <mergeCell ref="O239:U239"/>
    <mergeCell ref="A225:C225"/>
    <mergeCell ref="L225:N225"/>
    <mergeCell ref="A240:C240"/>
    <mergeCell ref="L240:N240"/>
    <mergeCell ref="D241:J241"/>
    <mergeCell ref="O241:U241"/>
    <mergeCell ref="A278:C278"/>
    <mergeCell ref="L278:N278"/>
    <mergeCell ref="A283:C283"/>
    <mergeCell ref="L283:N283"/>
    <mergeCell ref="A263:J263"/>
    <mergeCell ref="L263:U263"/>
    <mergeCell ref="A266:D266"/>
    <mergeCell ref="L266:O266"/>
    <mergeCell ref="D269:J269"/>
    <mergeCell ref="O269:U269"/>
    <mergeCell ref="A270:C270"/>
    <mergeCell ref="L270:N270"/>
    <mergeCell ref="A321:J321"/>
    <mergeCell ref="L321:U321"/>
    <mergeCell ref="A324:D324"/>
    <mergeCell ref="L324:O324"/>
    <mergeCell ref="A336:C336"/>
    <mergeCell ref="L336:N336"/>
    <mergeCell ref="A341:C341"/>
    <mergeCell ref="L341:N341"/>
    <mergeCell ref="A291:J291"/>
    <mergeCell ref="L291:U291"/>
    <mergeCell ref="A311:C311"/>
    <mergeCell ref="L311:N311"/>
    <mergeCell ref="D297:J297"/>
    <mergeCell ref="O297:U297"/>
    <mergeCell ref="A298:C298"/>
    <mergeCell ref="L298:N298"/>
    <mergeCell ref="D299:J299"/>
    <mergeCell ref="O299:U299"/>
    <mergeCell ref="A294:D294"/>
    <mergeCell ref="L294:O294"/>
    <mergeCell ref="A301:C301"/>
    <mergeCell ref="L301:N301"/>
    <mergeCell ref="A306:C306"/>
    <mergeCell ref="L306:N306"/>
    <mergeCell ref="A349:J349"/>
    <mergeCell ref="L349:U349"/>
    <mergeCell ref="A352:D352"/>
    <mergeCell ref="L352:O352"/>
    <mergeCell ref="D327:J327"/>
    <mergeCell ref="O327:U327"/>
    <mergeCell ref="A328:C328"/>
    <mergeCell ref="L328:N328"/>
    <mergeCell ref="D329:J329"/>
    <mergeCell ref="O329:U329"/>
    <mergeCell ref="A331:C331"/>
    <mergeCell ref="L331:N331"/>
    <mergeCell ref="D355:J355"/>
    <mergeCell ref="O355:U355"/>
    <mergeCell ref="A382:D382"/>
    <mergeCell ref="L382:O382"/>
    <mergeCell ref="D357:J357"/>
    <mergeCell ref="O357:U357"/>
    <mergeCell ref="A359:C359"/>
    <mergeCell ref="L359:N359"/>
    <mergeCell ref="A364:C364"/>
    <mergeCell ref="L364:N364"/>
    <mergeCell ref="A356:C356"/>
    <mergeCell ref="L356:N356"/>
    <mergeCell ref="A369:C369"/>
    <mergeCell ref="L369:N369"/>
    <mergeCell ref="A379:J379"/>
    <mergeCell ref="L379:U379"/>
    <mergeCell ref="A399:C399"/>
    <mergeCell ref="L399:N399"/>
    <mergeCell ref="D385:J385"/>
    <mergeCell ref="O385:U385"/>
    <mergeCell ref="A386:C386"/>
    <mergeCell ref="L386:N386"/>
    <mergeCell ref="D387:J387"/>
    <mergeCell ref="O387:U387"/>
    <mergeCell ref="A389:C389"/>
    <mergeCell ref="L389:N389"/>
    <mergeCell ref="A394:C394"/>
    <mergeCell ref="L394:N394"/>
  </mergeCells>
  <phoneticPr fontId="0" type="noConversion"/>
  <printOptions horizontalCentered="1" verticalCentered="1"/>
  <pageMargins left="0.11811023622047245" right="0.15748031496062992" top="0.11811023622047245" bottom="0.51181102362204722" header="7.874015748031496E-2" footer="0.47244094488188981"/>
  <pageSetup paperSize="9" scale="70" orientation="portrait" horizontalDpi="300" verticalDpi="300" r:id="rId1"/>
  <headerFooter alignWithMargins="0"/>
  <rowBreaks count="6" manualBreakCount="6">
    <brk id="58" max="16383" man="1"/>
    <brk id="116" max="16383" man="1"/>
    <brk id="174" max="16383" man="1"/>
    <brk id="232" max="16383" man="1"/>
    <brk id="290" max="16383" man="1"/>
    <brk id="3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15</vt:i4>
      </vt:variant>
    </vt:vector>
  </HeadingPairs>
  <TitlesOfParts>
    <vt:vector size="23" baseType="lpstr">
      <vt:lpstr>Rens</vt:lpstr>
      <vt:lpstr>liste</vt:lpstr>
      <vt:lpstr>Poules A-B</vt:lpstr>
      <vt:lpstr>Poules C-D</vt:lpstr>
      <vt:lpstr>Récapitulatif des poules</vt:lpstr>
      <vt:lpstr>Tableau</vt:lpstr>
      <vt:lpstr>Classement</vt:lpstr>
      <vt:lpstr>Parties</vt:lpstr>
      <vt:lpstr>blanc</vt:lpstr>
      <vt:lpstr>Tableau!clpo</vt:lpstr>
      <vt:lpstr>liste!Impression_des_titres</vt:lpstr>
      <vt:lpstr>Tableau!poA</vt:lpstr>
      <vt:lpstr>Tableau!poB</vt:lpstr>
      <vt:lpstr>Tableau!poC</vt:lpstr>
      <vt:lpstr>Tableau!poD</vt:lpstr>
      <vt:lpstr>Tableau!ponum</vt:lpstr>
      <vt:lpstr>Tableau!TF</vt:lpstr>
      <vt:lpstr>Tableau!TIR</vt:lpstr>
      <vt:lpstr>liste!Zone_d_impression</vt:lpstr>
      <vt:lpstr>'Poules A-B'!Zone_d_impression</vt:lpstr>
      <vt:lpstr>'Poules C-D'!Zone_d_impression</vt:lpstr>
      <vt:lpstr>'Récapitulatif des poules'!Zone_d_impression</vt:lpstr>
      <vt:lpstr>Tableau!Zone_d_impression</vt:lpstr>
    </vt:vector>
  </TitlesOfParts>
  <Company>CD 72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16 - choix E1</dc:title>
  <dc:subject>Tableau 16 joueurs à classement intégral</dc:subject>
  <dc:creator>Michel Vigneron</dc:creator>
  <cp:lastModifiedBy>CD 72 Guillaume</cp:lastModifiedBy>
  <cp:lastPrinted>2018-11-16T13:56:08Z</cp:lastPrinted>
  <dcterms:created xsi:type="dcterms:W3CDTF">1999-11-26T10:36:49Z</dcterms:created>
  <dcterms:modified xsi:type="dcterms:W3CDTF">2018-11-16T13:56:21Z</dcterms:modified>
</cp:coreProperties>
</file>